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B3B514E6-FFFF-4ED1-BD20-BDD9C9DD99A1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  <externalReference r:id="rId8"/>
    <externalReference r:id="rId9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G14" i="3"/>
  <c r="I14" i="3" s="1"/>
  <c r="I15" i="3"/>
  <c r="I13" i="3"/>
  <c r="I12" i="2"/>
  <c r="I22" i="1"/>
  <c r="I21" i="1"/>
  <c r="I20" i="1"/>
  <c r="I19" i="1"/>
  <c r="I18" i="1"/>
  <c r="I17" i="1"/>
  <c r="I16" i="1"/>
  <c r="G18" i="1"/>
  <c r="G14" i="1"/>
  <c r="I14" i="1" s="1"/>
  <c r="I15" i="1"/>
  <c r="G15" i="1"/>
  <c r="I8" i="1"/>
  <c r="K13" i="3"/>
  <c r="I8" i="2"/>
  <c r="E18" i="1"/>
  <c r="E15" i="1"/>
  <c r="E14" i="1"/>
  <c r="K15" i="1" l="1"/>
  <c r="K14" i="1"/>
  <c r="K15" i="3" l="1"/>
  <c r="K20" i="1"/>
  <c r="E45" i="5"/>
  <c r="E13" i="2"/>
  <c r="E15" i="8" s="1"/>
  <c r="E36" i="5"/>
  <c r="G11" i="1"/>
  <c r="E16" i="8"/>
  <c r="E14" i="3"/>
  <c r="E11" i="1"/>
  <c r="E7" i="8" s="1"/>
  <c r="K16" i="3"/>
  <c r="I16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E54" i="5"/>
  <c r="E40" i="5"/>
  <c r="D28" i="5"/>
  <c r="D11" i="5"/>
  <c r="E16" i="4"/>
  <c r="K14" i="4"/>
  <c r="K9" i="4"/>
  <c r="K8" i="4"/>
  <c r="K10" i="3"/>
  <c r="K9" i="8" s="1"/>
  <c r="I10" i="3"/>
  <c r="G10" i="3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G9" i="8" l="1"/>
  <c r="G11" i="8" s="1"/>
  <c r="D30" i="5"/>
  <c r="I9" i="8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9" i="4" l="1"/>
  <c r="I17" i="8"/>
  <c r="I18" i="8" s="1"/>
  <c r="G26" i="1"/>
  <c r="G14" i="8"/>
  <c r="G18" i="8" s="1"/>
  <c r="G21" i="8" s="1"/>
  <c r="I16" i="2"/>
  <c r="E60" i="5"/>
  <c r="K23" i="1"/>
  <c r="K14" i="8" s="1"/>
  <c r="E11" i="8" l="1"/>
  <c r="E21" i="8" s="1"/>
  <c r="E16" i="2"/>
  <c r="I11" i="1" l="1"/>
  <c r="K8" i="1"/>
  <c r="K11" i="1" s="1"/>
  <c r="K7" i="8" s="1"/>
  <c r="I7" i="8" l="1"/>
  <c r="I11" i="8" s="1"/>
  <c r="I21" i="8" s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<sst xmlns="http://schemas.openxmlformats.org/spreadsheetml/2006/main" count="161" uniqueCount="115">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</sst>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4%20Jan%20FY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v%20Auth-6%20Mar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/>
      <sheetData sheetId="2">
        <row r="8">
          <cell r="I8">
            <v>13789.11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Balance Sheet"/>
      <sheetName val="FS -873 Workforce Development"/>
    </sheetNames>
    <sheetDataSet>
      <sheetData sheetId="0"/>
      <sheetData sheetId="1">
        <row r="8">
          <cell r="I8">
            <v>197983.01999999996</v>
          </cell>
        </row>
        <row r="14">
          <cell r="I14">
            <v>92436.12</v>
          </cell>
        </row>
        <row r="15">
          <cell r="I15">
            <v>21809.88</v>
          </cell>
        </row>
        <row r="16">
          <cell r="I16">
            <v>149.80000000000001</v>
          </cell>
        </row>
        <row r="17">
          <cell r="I17">
            <v>16476.849999999999</v>
          </cell>
        </row>
        <row r="18">
          <cell r="I18">
            <v>5934.93</v>
          </cell>
        </row>
        <row r="19">
          <cell r="I19">
            <v>324.83</v>
          </cell>
        </row>
        <row r="20">
          <cell r="I20">
            <v>19548</v>
          </cell>
        </row>
        <row r="21">
          <cell r="I21">
            <v>7645</v>
          </cell>
        </row>
        <row r="22">
          <cell r="I22">
            <v>5721.15</v>
          </cell>
        </row>
      </sheetData>
      <sheetData sheetId="2">
        <row r="12">
          <cell r="I12">
            <v>14996.739999999998</v>
          </cell>
        </row>
      </sheetData>
      <sheetData sheetId="3">
        <row r="13">
          <cell r="I13">
            <v>19424.73</v>
          </cell>
        </row>
        <row r="14">
          <cell r="I14">
            <v>2654.5700000000006</v>
          </cell>
        </row>
        <row r="15">
          <cell r="I15">
            <v>10936.4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ColWidth="9.140625" defaultRowHeight="12.75" x14ac:dyDescent="0.2"/>
  <cols>
    <col min="1" max="2" width="5.7109375" style="36" customWidth="1"/>
    <col min="3" max="3" width="15.5703125" style="36" customWidth="1"/>
    <col min="4" max="4" width="25.42578125" style="36" customWidth="1"/>
    <col min="5" max="5" width="12.28515625" style="11" customWidth="1"/>
    <col min="6" max="6" width="2.7109375" style="36" customWidth="1"/>
    <col min="7" max="7" width="12.28515625" style="11" customWidth="1"/>
    <col min="8" max="8" width="2.7109375" style="36" customWidth="1"/>
    <col min="9" max="9" width="12.28515625" style="11" customWidth="1"/>
    <col min="10" max="10" width="3.28515625" style="36" bestFit="1" customWidth="1"/>
    <col min="11" max="11" width="12.28515625" style="11" customWidth="1"/>
    <col min="12" max="12" width="9.140625" style="37"/>
    <col min="13" max="16384" width="9.140625" style="36"/>
  </cols>
  <sheetData>
    <row r="1" spans="1:13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47"/>
    </row>
    <row r="2" spans="1:13" x14ac:dyDescent="0.2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46"/>
    </row>
    <row r="3" spans="1:13" x14ac:dyDescent="0.2">
      <c r="A3" s="39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x14ac:dyDescent="0.2">
      <c r="A4" s="39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x14ac:dyDescent="0.2">
      <c r="A5" s="44"/>
      <c r="E5" s="8" t="s">
        <v>2</v>
      </c>
      <c r="G5" s="8" t="s">
        <v>3</v>
      </c>
      <c r="H5" s="36" t="s">
        <v>4</v>
      </c>
      <c r="I5" s="8" t="s">
        <v>5</v>
      </c>
      <c r="J5" s="9"/>
      <c r="K5" s="8" t="s">
        <v>6</v>
      </c>
    </row>
    <row r="6" spans="1:13" x14ac:dyDescent="0.2">
      <c r="A6" s="57" t="s">
        <v>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" x14ac:dyDescent="0.35">
      <c r="A7" s="18"/>
      <c r="C7" s="36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233517.17999999993</v>
      </c>
      <c r="J7" s="24"/>
      <c r="K7" s="20">
        <f>'FS -870 Operations'!K11</f>
        <v>167449.31000000006</v>
      </c>
    </row>
    <row r="8" spans="1:13" s="11" customFormat="1" ht="15" x14ac:dyDescent="0.35">
      <c r="A8" s="36"/>
      <c r="B8" s="36"/>
      <c r="C8" s="36" t="s">
        <v>95</v>
      </c>
      <c r="D8" s="36"/>
      <c r="E8" s="20">
        <f>'FS -871 Street Lights'!E9</f>
        <v>36000</v>
      </c>
      <c r="F8" s="20"/>
      <c r="G8" s="20">
        <f>'FS -871 Street Lights'!G9</f>
        <v>0</v>
      </c>
      <c r="H8" s="20"/>
      <c r="I8" s="20">
        <f>'FS -871 Street Lights'!I9</f>
        <v>13789.11</v>
      </c>
      <c r="J8" s="24"/>
      <c r="K8" s="20">
        <f>'FS -871 Street Lights'!K9</f>
        <v>22210.89</v>
      </c>
      <c r="L8" s="37"/>
      <c r="M8" s="36"/>
    </row>
    <row r="9" spans="1:13" ht="15" x14ac:dyDescent="0.35">
      <c r="C9" s="36" t="s">
        <v>94</v>
      </c>
      <c r="E9" s="20">
        <f>'FS -872 Bond Fees'!E10</f>
        <v>50000</v>
      </c>
      <c r="F9" s="20"/>
      <c r="G9" s="20">
        <f>'FS -872 Bond Fees'!G10</f>
        <v>3476.36</v>
      </c>
      <c r="H9" s="20"/>
      <c r="I9" s="20">
        <f>'FS -872 Bond Fees'!I10</f>
        <v>55398.2</v>
      </c>
      <c r="J9" s="24"/>
      <c r="K9" s="20">
        <f>'FS -872 Bond Fees'!K10</f>
        <v>-5398.2000000000007</v>
      </c>
    </row>
    <row r="10" spans="1:13" ht="15" hidden="1" x14ac:dyDescent="0.35">
      <c r="C10" s="36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4" customFormat="1" x14ac:dyDescent="0.2">
      <c r="D11" s="34" t="s">
        <v>86</v>
      </c>
      <c r="E11" s="42">
        <f>SUM(E7+E8+E9+E10)</f>
        <v>486966.49</v>
      </c>
      <c r="F11" s="43"/>
      <c r="G11" s="42">
        <f>SUM(G7+G8+G9+G10)</f>
        <v>36473.53</v>
      </c>
      <c r="H11" s="43"/>
      <c r="I11" s="42">
        <f>SUM(I7+I8+I9+I10)</f>
        <v>302704.48999999993</v>
      </c>
      <c r="J11" s="43"/>
      <c r="K11" s="41"/>
      <c r="L11" s="40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7" t="s">
        <v>92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3" ht="15" x14ac:dyDescent="0.35">
      <c r="A14" s="13"/>
      <c r="C14" s="36" t="s">
        <v>91</v>
      </c>
      <c r="E14" s="20">
        <f>'FS -870 Operations'!E23</f>
        <v>402146.65</v>
      </c>
      <c r="F14" s="20"/>
      <c r="G14" s="20">
        <f>SUM('FS -870 Operations'!G23)</f>
        <v>19448.52</v>
      </c>
      <c r="H14" s="20"/>
      <c r="I14" s="20">
        <f>SUM('FS -870 Operations'!I23)</f>
        <v>189495.08000000002</v>
      </c>
      <c r="J14" s="17"/>
      <c r="K14" s="20">
        <f>'FS -870 Operations'!K23</f>
        <v>212651.57</v>
      </c>
    </row>
    <row r="15" spans="1:13" ht="15" x14ac:dyDescent="0.35">
      <c r="C15" s="36" t="s">
        <v>90</v>
      </c>
      <c r="E15" s="20">
        <f>'FS -871 Street Lights'!E13</f>
        <v>36000</v>
      </c>
      <c r="F15" s="20"/>
      <c r="G15" s="20">
        <f>SUM('FS -871 Street Lights'!G13)</f>
        <v>2496.37</v>
      </c>
      <c r="H15" s="20"/>
      <c r="I15" s="20">
        <f>SUM('FS -871 Street Lights'!I13)</f>
        <v>17493.109999999997</v>
      </c>
      <c r="J15" s="24"/>
      <c r="K15" s="20">
        <f>'FS -871 Street Lights'!K13</f>
        <v>18506.890000000003</v>
      </c>
    </row>
    <row r="16" spans="1:13" ht="15" x14ac:dyDescent="0.35">
      <c r="C16" s="36" t="s">
        <v>89</v>
      </c>
      <c r="E16" s="20">
        <f>'FS -872 Bond Fees'!E17</f>
        <v>48820</v>
      </c>
      <c r="F16" s="20"/>
      <c r="G16" s="20">
        <f>SUM('FS -872 Bond Fees'!G17)</f>
        <v>3163.9300000000003</v>
      </c>
      <c r="H16" s="20"/>
      <c r="I16" s="20">
        <f>SUM('FS -872 Bond Fees'!I17)</f>
        <v>36179.629999999997</v>
      </c>
      <c r="J16" s="24"/>
      <c r="K16" s="20">
        <f>'FS -872 Bond Fees'!K17</f>
        <v>12640.37</v>
      </c>
    </row>
    <row r="17" spans="1:13" ht="15" hidden="1" x14ac:dyDescent="0.35">
      <c r="C17" s="36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4" customFormat="1" x14ac:dyDescent="0.2">
      <c r="D18" s="34" t="s">
        <v>87</v>
      </c>
      <c r="E18" s="42">
        <f>E14+E15+E16+E17</f>
        <v>486966.65</v>
      </c>
      <c r="F18" s="43"/>
      <c r="G18" s="42">
        <f>G14+G15+G16+G17</f>
        <v>25108.82</v>
      </c>
      <c r="H18" s="43"/>
      <c r="I18" s="42">
        <f>I14+I15+I16+I17</f>
        <v>243167.82</v>
      </c>
      <c r="K18" s="41"/>
      <c r="L18" s="40"/>
    </row>
    <row r="19" spans="1:13" x14ac:dyDescent="0.2">
      <c r="A19" s="39"/>
      <c r="H19" s="38"/>
      <c r="J19" s="16"/>
      <c r="K19" s="20"/>
    </row>
    <row r="20" spans="1:13" x14ac:dyDescent="0.2">
      <c r="A20" s="22"/>
      <c r="H20" s="38"/>
      <c r="J20" s="16"/>
    </row>
    <row r="21" spans="1:13" x14ac:dyDescent="0.2">
      <c r="A21" s="39"/>
      <c r="B21" s="34" t="s">
        <v>21</v>
      </c>
      <c r="E21" s="20">
        <f>SUM(E11-E18)</f>
        <v>-0.16000000003259629</v>
      </c>
      <c r="G21" s="20">
        <f>SUM(G11-G18)</f>
        <v>11364.71</v>
      </c>
      <c r="H21" s="38"/>
      <c r="I21" s="20">
        <f>SUM(I11-I18)</f>
        <v>59536.669999999925</v>
      </c>
      <c r="J21" s="16"/>
      <c r="K21" s="20"/>
    </row>
    <row r="22" spans="1:13" x14ac:dyDescent="0.2">
      <c r="A22" s="39"/>
      <c r="H22" s="38"/>
      <c r="J22" s="16"/>
    </row>
    <row r="23" spans="1:13" x14ac:dyDescent="0.2">
      <c r="H23" s="38"/>
      <c r="J23" s="38"/>
    </row>
    <row r="24" spans="1:13" x14ac:dyDescent="0.2">
      <c r="H24" s="38"/>
      <c r="J24" s="38"/>
    </row>
    <row r="25" spans="1:13" s="11" customForma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36"/>
    </row>
    <row r="26" spans="1:13" s="11" customFormat="1" x14ac:dyDescent="0.2">
      <c r="A26" s="36"/>
      <c r="B26" s="36"/>
      <c r="C26" s="36"/>
      <c r="D26" s="36"/>
      <c r="F26" s="36"/>
      <c r="H26" s="38"/>
      <c r="J26" s="38"/>
      <c r="L26" s="37"/>
      <c r="M26" s="36"/>
    </row>
    <row r="27" spans="1:13" x14ac:dyDescent="0.2">
      <c r="K27" s="20"/>
    </row>
    <row r="28" spans="1:13" x14ac:dyDescent="0.2">
      <c r="B28" s="34"/>
      <c r="E28" s="20"/>
      <c r="G28" s="20"/>
      <c r="H28" s="38"/>
      <c r="I28" s="20"/>
      <c r="J28" s="16"/>
      <c r="K28" s="20"/>
    </row>
    <row r="32" spans="1:13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:12" x14ac:dyDescent="0.2">
      <c r="E33" s="20"/>
      <c r="G33" s="20"/>
      <c r="I33" s="20"/>
      <c r="K33" s="20"/>
    </row>
    <row r="35" spans="1:12" x14ac:dyDescent="0.2">
      <c r="B35" s="34"/>
      <c r="E35" s="20"/>
      <c r="G35" s="20"/>
      <c r="I35" s="20"/>
    </row>
    <row r="39" spans="1:12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x14ac:dyDescent="0.2">
      <c r="E40" s="20"/>
      <c r="G40" s="20"/>
      <c r="I40" s="20"/>
      <c r="K40" s="20"/>
    </row>
    <row r="42" spans="1:12" x14ac:dyDescent="0.2">
      <c r="B42" s="34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1" t="s">
        <v>8</v>
      </c>
      <c r="D8" s="61"/>
      <c r="E8" s="11">
        <v>395966.49</v>
      </c>
      <c r="F8" s="14"/>
      <c r="G8" s="11">
        <v>32997.17</v>
      </c>
      <c r="H8" s="15"/>
      <c r="I8" s="11">
        <f>G8+'[3]FS -870 Operations'!$I$8</f>
        <v>230980.18999999994</v>
      </c>
      <c r="J8" s="16"/>
      <c r="K8" s="11">
        <f>SUM(E8-I8)</f>
        <v>164986.30000000005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2500</v>
      </c>
      <c r="J9" s="16"/>
      <c r="K9" s="11">
        <f>SUM(E9-I9)</f>
        <v>2500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49">
        <v>36.99</v>
      </c>
      <c r="J10" s="16"/>
      <c r="K10" s="11">
        <f>SUM(E10-I10)</f>
        <v>-36.99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233517.17999999993</v>
      </c>
      <c r="J11" s="17"/>
      <c r="K11" s="19">
        <f>SUM(K8:K10)</f>
        <v>167449.31000000006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9985.46+586.85</f>
        <v>10572.31</v>
      </c>
      <c r="H14" s="15"/>
      <c r="I14" s="11">
        <f>G14+'[3]FS -870 Operations'!$I$14</f>
        <v>103008.43</v>
      </c>
      <c r="J14" s="16"/>
      <c r="K14" s="11">
        <f>E14-I14</f>
        <v>116099.46000000002</v>
      </c>
    </row>
    <row r="15" spans="1:13" x14ac:dyDescent="0.2">
      <c r="A15" s="13"/>
      <c r="C15" s="61" t="s">
        <v>13</v>
      </c>
      <c r="D15" s="61"/>
      <c r="E15" s="11">
        <f>13584.69+3177.07+20400+567+63+1726+11341+240+660</f>
        <v>51758.76</v>
      </c>
      <c r="F15" s="14"/>
      <c r="G15" s="11">
        <f>647.43+151.41+390.72+17.16+15.76+197.6+599.14</f>
        <v>2019.2199999999998</v>
      </c>
      <c r="H15" s="15"/>
      <c r="I15" s="11">
        <f>G15+'[3]FS -870 Operations'!$I$15</f>
        <v>23829.100000000002</v>
      </c>
      <c r="J15" s="16"/>
      <c r="K15" s="11">
        <f>SUM(E15-I15)</f>
        <v>27929.66</v>
      </c>
    </row>
    <row r="16" spans="1:13" x14ac:dyDescent="0.2">
      <c r="A16" s="13"/>
      <c r="C16" s="2" t="s">
        <v>18</v>
      </c>
      <c r="E16" s="11">
        <v>500</v>
      </c>
      <c r="G16" s="11">
        <v>37.450000000000003</v>
      </c>
      <c r="H16" s="15"/>
      <c r="I16" s="11">
        <f>G16+'[3]FS -870 Operations'!$I$16</f>
        <v>187.25</v>
      </c>
      <c r="J16" s="16"/>
      <c r="K16" s="11">
        <f>SUM(E16-I16)</f>
        <v>312.75</v>
      </c>
    </row>
    <row r="17" spans="1:13" x14ac:dyDescent="0.2">
      <c r="A17" s="13"/>
      <c r="C17" s="2" t="s">
        <v>15</v>
      </c>
      <c r="E17" s="11">
        <v>30000</v>
      </c>
      <c r="G17" s="11">
        <v>1122.25</v>
      </c>
      <c r="H17" s="15"/>
      <c r="I17" s="11">
        <f>G17+'[3]FS -870 Operations'!$I$17</f>
        <v>17599.099999999999</v>
      </c>
      <c r="J17" s="16"/>
      <c r="K17" s="11">
        <f t="shared" ref="K17:K22" si="0">SUM(E17-I17)</f>
        <v>12400.900000000001</v>
      </c>
    </row>
    <row r="18" spans="1:13" x14ac:dyDescent="0.2">
      <c r="A18" s="13"/>
      <c r="C18" s="53" t="s">
        <v>14</v>
      </c>
      <c r="D18" s="14"/>
      <c r="E18" s="11">
        <f>4800+6000+280</f>
        <v>11080</v>
      </c>
      <c r="F18" s="14"/>
      <c r="G18" s="52">
        <f>500+83.49</f>
        <v>583.49</v>
      </c>
      <c r="H18" s="15"/>
      <c r="I18" s="11">
        <f>G18+'[3]FS -870 Operations'!$I$18</f>
        <v>6518.42</v>
      </c>
      <c r="J18" s="16"/>
      <c r="K18" s="11">
        <f>SUM(E18-I18)</f>
        <v>4561.58</v>
      </c>
      <c r="L18" s="51"/>
    </row>
    <row r="19" spans="1:13" x14ac:dyDescent="0.2">
      <c r="A19" s="13"/>
      <c r="C19" s="61" t="s">
        <v>100</v>
      </c>
      <c r="D19" s="61"/>
      <c r="E19" s="11">
        <v>3500</v>
      </c>
      <c r="F19" s="14"/>
      <c r="G19" s="11">
        <v>0</v>
      </c>
      <c r="H19" s="15"/>
      <c r="I19" s="11">
        <f>'[3]FS -870 Operations'!$I$19</f>
        <v>324.83</v>
      </c>
      <c r="J19" s="16"/>
      <c r="K19" s="11">
        <f>SUM(E19-I19)</f>
        <v>3175.17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f>G20+'[3]FS -870 Operations'!$I$20</f>
        <v>22806</v>
      </c>
      <c r="J20" s="16"/>
      <c r="K20" s="11">
        <f>SUM(E20-I20)</f>
        <v>18694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405</v>
      </c>
      <c r="H21" s="15"/>
      <c r="I21" s="11">
        <f>G21+'[3]FS -870 Operations'!$I$21</f>
        <v>8050</v>
      </c>
      <c r="J21" s="16"/>
      <c r="K21" s="11">
        <f t="shared" si="0"/>
        <v>17650</v>
      </c>
    </row>
    <row r="22" spans="1:13" ht="15" x14ac:dyDescent="0.35">
      <c r="A22" s="13"/>
      <c r="C22" s="61" t="s">
        <v>19</v>
      </c>
      <c r="D22" s="61"/>
      <c r="E22" s="11">
        <v>19000</v>
      </c>
      <c r="F22" s="14"/>
      <c r="G22" s="11">
        <v>1450.8</v>
      </c>
      <c r="H22" s="21"/>
      <c r="I22" s="49">
        <f>G22+'[3]FS -870 Operations'!$I$22</f>
        <v>7171.95</v>
      </c>
      <c r="J22" s="17"/>
      <c r="K22" s="11">
        <f t="shared" si="0"/>
        <v>11828.05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19448.52</v>
      </c>
      <c r="H23" s="20"/>
      <c r="I23" s="19">
        <f>SUM(I14:I22)</f>
        <v>189495.08000000002</v>
      </c>
      <c r="J23" s="17"/>
      <c r="K23" s="19">
        <f>SUM(K14:K22)</f>
        <v>212651.57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13548.649999999998</v>
      </c>
      <c r="H26" s="15"/>
      <c r="I26" s="20">
        <f>SUM(I11-I23)</f>
        <v>44022.099999999919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22383.5+3098.82</f>
        <v>25482.32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4" sqref="A4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</row>
    <row r="2" spans="1:13" x14ac:dyDescent="0.2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H8" s="15"/>
      <c r="I8" s="11">
        <f>'[1]FS -871 Street Lights'!$I$8</f>
        <v>13789.11</v>
      </c>
      <c r="J8" s="16"/>
      <c r="K8" s="11">
        <f>E8-I8</f>
        <v>22210.89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0</v>
      </c>
      <c r="H9" s="20"/>
      <c r="I9" s="19">
        <f>I8</f>
        <v>13789.11</v>
      </c>
      <c r="J9" s="17"/>
      <c r="K9" s="19">
        <f>SUM(K8)</f>
        <v>22210.89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2496.37</v>
      </c>
      <c r="H12" s="24"/>
      <c r="I12" s="11">
        <f>G12+'[3]FS -871 Street Lights'!$I$12</f>
        <v>17493.109999999997</v>
      </c>
      <c r="J12" s="17"/>
      <c r="K12" s="11">
        <f>SUM(E12-I12)</f>
        <v>18506.890000000003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2496.37</v>
      </c>
      <c r="H13" s="20"/>
      <c r="I13" s="19">
        <f>SUM(I12)</f>
        <v>17493.109999999997</v>
      </c>
      <c r="J13" s="17"/>
      <c r="K13" s="19">
        <f>SUM(K12)</f>
        <v>18506.890000000003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-2496.37</v>
      </c>
      <c r="H16" s="15"/>
      <c r="I16" s="20">
        <f>SUM(I9-I13)</f>
        <v>-3703.9999999999964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4" sqref="A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"/>
    </row>
    <row r="3" spans="1:13" x14ac:dyDescent="0.2">
      <c r="A3" s="59" t="s">
        <v>114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v>30283</v>
      </c>
      <c r="J8" s="17"/>
      <c r="K8" s="11">
        <f>SUM(E8-I8)</f>
        <v>-5283</v>
      </c>
    </row>
    <row r="9" spans="1:13" ht="15" x14ac:dyDescent="0.35">
      <c r="A9" s="13"/>
      <c r="C9" s="61" t="s">
        <v>9</v>
      </c>
      <c r="D9" s="61"/>
      <c r="E9" s="11">
        <v>25000</v>
      </c>
      <c r="F9" s="14"/>
      <c r="G9" s="11">
        <v>3476.36</v>
      </c>
      <c r="H9" s="15"/>
      <c r="I9" s="49">
        <v>25115.200000000001</v>
      </c>
      <c r="J9" s="17"/>
      <c r="K9" s="11">
        <f>SUM(E9-I9)</f>
        <v>-115.20000000000073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3476.36</v>
      </c>
      <c r="H10" s="20"/>
      <c r="I10" s="19">
        <f>SUM(I8:I9)</f>
        <v>55398.2</v>
      </c>
      <c r="J10" s="17"/>
      <c r="K10" s="19">
        <f>SUM(K8:K9)</f>
        <v>-5398.2000000000007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1638.23</v>
      </c>
      <c r="H13" s="15"/>
      <c r="I13" s="11">
        <f>G13+'[3]FS -872 Bond Fees'!$I$13</f>
        <v>21062.959999999999</v>
      </c>
      <c r="J13" s="16"/>
      <c r="K13" s="11">
        <f>SUM(E13-I13)</f>
        <v>21937.040000000001</v>
      </c>
    </row>
    <row r="14" spans="1:13" x14ac:dyDescent="0.2">
      <c r="A14" s="13"/>
      <c r="B14" s="10"/>
      <c r="C14" s="61" t="s">
        <v>13</v>
      </c>
      <c r="D14" s="61"/>
      <c r="E14" s="11">
        <f>2640+620+2560</f>
        <v>5820</v>
      </c>
      <c r="G14" s="11">
        <f>101.57+23.75+98.29</f>
        <v>223.61</v>
      </c>
      <c r="H14" s="15"/>
      <c r="I14" s="11">
        <f>G14+'[3]FS -872 Bond Fees'!$I$14</f>
        <v>2878.1800000000007</v>
      </c>
      <c r="J14" s="16"/>
      <c r="K14" s="11">
        <f t="shared" ref="K14:K16" si="0">SUM(E14-I14)</f>
        <v>2941.8199999999993</v>
      </c>
    </row>
    <row r="15" spans="1:13" x14ac:dyDescent="0.2">
      <c r="A15" s="13"/>
      <c r="B15" s="10"/>
      <c r="C15" s="2" t="s">
        <v>16</v>
      </c>
      <c r="E15" s="11">
        <v>0</v>
      </c>
      <c r="G15" s="11">
        <v>1302.0899999999999</v>
      </c>
      <c r="H15" s="15"/>
      <c r="I15" s="11">
        <f>G15+'[3]FS -872 Bond Fees'!$I$15</f>
        <v>12238.49</v>
      </c>
      <c r="J15" s="16"/>
      <c r="K15" s="11">
        <f t="shared" si="0"/>
        <v>-12238.49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49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3163.9300000000003</v>
      </c>
      <c r="H17" s="20"/>
      <c r="I17" s="19">
        <f>SUM(I13:I16)</f>
        <v>36179.629999999997</v>
      </c>
      <c r="J17" s="17"/>
      <c r="K17" s="19">
        <f>SUM(K13:K16)</f>
        <v>12640.37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312.42999999999984</v>
      </c>
      <c r="H20" s="15"/>
      <c r="I20" s="20">
        <f>SUM(I10-I17)</f>
        <v>19218.57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1199173.2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A4" sqref="A4"/>
    </sheetView>
  </sheetViews>
  <sheetFormatPr defaultRowHeight="12.75" x14ac:dyDescent="0.2"/>
  <cols>
    <col min="1" max="1" width="9.140625" style="31"/>
    <col min="2" max="2" width="14.7109375" style="4" customWidth="1"/>
    <col min="3" max="3" width="36.28515625" style="2" customWidth="1"/>
    <col min="4" max="4" width="17.42578125" style="30" bestFit="1" customWidth="1"/>
    <col min="5" max="5" width="19" style="30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3" t="s">
        <v>48</v>
      </c>
      <c r="B2" s="63"/>
      <c r="C2" s="63"/>
      <c r="D2" s="63"/>
      <c r="E2" s="63"/>
      <c r="F2" s="26"/>
      <c r="G2" s="26"/>
      <c r="H2" s="26"/>
      <c r="I2" s="26"/>
      <c r="K2" s="11"/>
    </row>
    <row r="3" spans="1:12" x14ac:dyDescent="0.2">
      <c r="A3" s="59" t="s">
        <v>114</v>
      </c>
      <c r="B3" s="59"/>
      <c r="C3" s="59"/>
      <c r="D3" s="59"/>
      <c r="E3" s="59"/>
      <c r="F3" s="48"/>
      <c r="G3" s="48"/>
      <c r="H3" s="48"/>
      <c r="I3" s="48"/>
      <c r="J3" s="48"/>
      <c r="K3" s="48"/>
      <c r="L3" s="48"/>
    </row>
    <row r="4" spans="1:12" x14ac:dyDescent="0.2">
      <c r="A4" s="54"/>
      <c r="B4" s="54"/>
      <c r="C4" s="54"/>
      <c r="D4" s="55"/>
      <c r="E4" s="56"/>
      <c r="F4" s="27"/>
      <c r="G4" s="11"/>
      <c r="I4" s="11"/>
      <c r="J4" s="28"/>
      <c r="K4" s="11"/>
    </row>
    <row r="5" spans="1:12" x14ac:dyDescent="0.2">
      <c r="A5" s="54"/>
      <c r="B5" s="4">
        <v>1010</v>
      </c>
      <c r="C5" s="29" t="s">
        <v>49</v>
      </c>
      <c r="D5" s="30">
        <v>0</v>
      </c>
      <c r="E5" s="56"/>
      <c r="F5" s="27"/>
      <c r="G5" s="11"/>
      <c r="I5" s="11"/>
      <c r="J5" s="28"/>
      <c r="K5" s="11"/>
    </row>
    <row r="6" spans="1:12" x14ac:dyDescent="0.2">
      <c r="B6" s="4">
        <v>1011</v>
      </c>
      <c r="C6" s="2" t="s">
        <v>50</v>
      </c>
      <c r="D6" s="30">
        <v>22383.5</v>
      </c>
    </row>
    <row r="7" spans="1:12" x14ac:dyDescent="0.2">
      <c r="A7" s="50" t="s">
        <v>105</v>
      </c>
      <c r="B7" s="4">
        <v>1019</v>
      </c>
      <c r="C7" s="2" t="s">
        <v>51</v>
      </c>
      <c r="D7" s="30">
        <v>1199173.2</v>
      </c>
      <c r="E7" s="30" t="s">
        <v>105</v>
      </c>
    </row>
    <row r="8" spans="1:12" x14ac:dyDescent="0.2">
      <c r="B8" s="4">
        <v>1020</v>
      </c>
      <c r="C8" s="2" t="s">
        <v>52</v>
      </c>
      <c r="D8" s="30">
        <v>0</v>
      </c>
    </row>
    <row r="9" spans="1:12" x14ac:dyDescent="0.2">
      <c r="B9" s="4">
        <v>1022</v>
      </c>
      <c r="C9" s="2" t="s">
        <v>53</v>
      </c>
      <c r="D9" s="30">
        <v>0</v>
      </c>
    </row>
    <row r="10" spans="1:12" x14ac:dyDescent="0.2">
      <c r="B10" s="4">
        <v>1099</v>
      </c>
      <c r="C10" s="2" t="s">
        <v>54</v>
      </c>
      <c r="D10" s="30">
        <v>3098.82</v>
      </c>
    </row>
    <row r="11" spans="1:12" x14ac:dyDescent="0.2">
      <c r="B11" s="32" t="s">
        <v>55</v>
      </c>
      <c r="C11" s="10" t="s">
        <v>49</v>
      </c>
      <c r="D11" s="33">
        <f>SUM(D5:D10)</f>
        <v>1224655.52</v>
      </c>
      <c r="E11" s="33"/>
    </row>
    <row r="13" spans="1:12" x14ac:dyDescent="0.2">
      <c r="B13" s="4">
        <v>1110</v>
      </c>
      <c r="C13" s="2" t="s">
        <v>56</v>
      </c>
      <c r="D13" s="30">
        <v>0</v>
      </c>
    </row>
    <row r="14" spans="1:12" x14ac:dyDescent="0.2">
      <c r="B14" s="4">
        <v>1135</v>
      </c>
      <c r="C14" s="2" t="s">
        <v>57</v>
      </c>
      <c r="D14" s="30">
        <v>0</v>
      </c>
    </row>
    <row r="15" spans="1:12" x14ac:dyDescent="0.2">
      <c r="B15" s="4">
        <v>1175</v>
      </c>
      <c r="C15" s="2" t="s">
        <v>58</v>
      </c>
      <c r="D15" s="30">
        <v>-0.4</v>
      </c>
    </row>
    <row r="16" spans="1:12" x14ac:dyDescent="0.2">
      <c r="B16" s="4">
        <v>1187</v>
      </c>
      <c r="C16" s="2" t="s">
        <v>103</v>
      </c>
      <c r="D16" s="30">
        <v>0</v>
      </c>
    </row>
    <row r="17" spans="1:4" x14ac:dyDescent="0.2">
      <c r="B17" s="4">
        <v>1190</v>
      </c>
      <c r="C17" s="2" t="s">
        <v>85</v>
      </c>
      <c r="D17" s="30">
        <v>0</v>
      </c>
    </row>
    <row r="18" spans="1:4" x14ac:dyDescent="0.2">
      <c r="B18" s="32" t="s">
        <v>55</v>
      </c>
      <c r="C18" s="10" t="s">
        <v>59</v>
      </c>
      <c r="D18" s="33">
        <f>SUM(D13:D17)</f>
        <v>-0.4</v>
      </c>
    </row>
    <row r="20" spans="1:4" x14ac:dyDescent="0.2">
      <c r="B20" s="4">
        <v>1451</v>
      </c>
      <c r="C20" s="2" t="s">
        <v>111</v>
      </c>
      <c r="D20" s="33">
        <v>0</v>
      </c>
    </row>
    <row r="22" spans="1:4" s="30" customFormat="1" x14ac:dyDescent="0.2">
      <c r="A22" s="31"/>
      <c r="B22" s="4">
        <v>1501</v>
      </c>
      <c r="C22" s="2" t="s">
        <v>60</v>
      </c>
      <c r="D22" s="30">
        <v>49049.7</v>
      </c>
    </row>
    <row r="23" spans="1:4" s="30" customFormat="1" x14ac:dyDescent="0.2">
      <c r="A23" s="31"/>
      <c r="B23" s="4">
        <v>1510</v>
      </c>
      <c r="C23" s="2" t="s">
        <v>61</v>
      </c>
      <c r="D23" s="30">
        <v>8065.29</v>
      </c>
    </row>
    <row r="24" spans="1:4" s="30" customFormat="1" x14ac:dyDescent="0.2">
      <c r="A24" s="31"/>
      <c r="B24" s="4">
        <v>1530</v>
      </c>
      <c r="C24" s="2" t="s">
        <v>101</v>
      </c>
      <c r="D24" s="30">
        <v>0</v>
      </c>
    </row>
    <row r="25" spans="1:4" s="30" customFormat="1" x14ac:dyDescent="0.2">
      <c r="A25" s="31"/>
      <c r="B25" s="4">
        <v>1531</v>
      </c>
      <c r="C25" s="2" t="s">
        <v>104</v>
      </c>
      <c r="D25" s="30">
        <v>0.33</v>
      </c>
    </row>
    <row r="26" spans="1:4" s="30" customFormat="1" x14ac:dyDescent="0.2">
      <c r="A26" s="31"/>
      <c r="B26" s="4">
        <v>1545</v>
      </c>
      <c r="C26" s="2" t="s">
        <v>62</v>
      </c>
      <c r="D26" s="30">
        <v>24272.98</v>
      </c>
    </row>
    <row r="27" spans="1:4" s="30" customFormat="1" x14ac:dyDescent="0.2">
      <c r="A27" s="31"/>
      <c r="B27" s="4">
        <v>1546</v>
      </c>
      <c r="C27" s="2" t="s">
        <v>63</v>
      </c>
      <c r="D27" s="30">
        <v>-32338.27</v>
      </c>
    </row>
    <row r="28" spans="1:4" x14ac:dyDescent="0.2">
      <c r="B28" s="32" t="s">
        <v>55</v>
      </c>
      <c r="C28" s="10" t="s">
        <v>64</v>
      </c>
      <c r="D28" s="33">
        <f>SUM(D22:D27)</f>
        <v>49050.03</v>
      </c>
    </row>
    <row r="30" spans="1:4" x14ac:dyDescent="0.2">
      <c r="B30" s="32" t="s">
        <v>55</v>
      </c>
      <c r="C30" s="10" t="s">
        <v>65</v>
      </c>
      <c r="D30" s="33">
        <f>SUM(D11+D18+D28)+D20</f>
        <v>1273705.1500000001</v>
      </c>
    </row>
    <row r="32" spans="1:4" x14ac:dyDescent="0.2">
      <c r="C32" s="34" t="s">
        <v>80</v>
      </c>
      <c r="D32" s="35">
        <v>0</v>
      </c>
    </row>
    <row r="34" spans="2:5" x14ac:dyDescent="0.2">
      <c r="B34" s="4">
        <v>2050</v>
      </c>
      <c r="C34" s="2" t="s">
        <v>66</v>
      </c>
      <c r="E34" s="30">
        <v>0</v>
      </c>
    </row>
    <row r="35" spans="2:5" x14ac:dyDescent="0.2">
      <c r="B35" s="4">
        <v>2052</v>
      </c>
      <c r="C35" s="2" t="s">
        <v>109</v>
      </c>
      <c r="E35" s="30">
        <v>0</v>
      </c>
    </row>
    <row r="36" spans="2:5" x14ac:dyDescent="0.2">
      <c r="B36" s="32" t="s">
        <v>55</v>
      </c>
      <c r="C36" s="10" t="s">
        <v>66</v>
      </c>
      <c r="D36" s="33"/>
      <c r="E36" s="33">
        <f>SUM(E34:E35)</f>
        <v>0</v>
      </c>
    </row>
    <row r="38" spans="2:5" x14ac:dyDescent="0.2">
      <c r="B38" s="4">
        <v>2115</v>
      </c>
      <c r="C38" s="2" t="s">
        <v>67</v>
      </c>
      <c r="E38" s="30">
        <v>0</v>
      </c>
    </row>
    <row r="39" spans="2:5" x14ac:dyDescent="0.2">
      <c r="B39" s="4">
        <v>2116</v>
      </c>
      <c r="C39" s="2" t="s">
        <v>68</v>
      </c>
      <c r="E39" s="30">
        <v>6.05</v>
      </c>
    </row>
    <row r="40" spans="2:5" x14ac:dyDescent="0.2">
      <c r="B40" s="32" t="s">
        <v>55</v>
      </c>
      <c r="C40" s="10" t="s">
        <v>69</v>
      </c>
      <c r="D40" s="33"/>
      <c r="E40" s="33">
        <f>SUM(E38:E39)</f>
        <v>6.05</v>
      </c>
    </row>
    <row r="42" spans="2:5" x14ac:dyDescent="0.2">
      <c r="B42" s="4">
        <v>2212</v>
      </c>
      <c r="C42" s="2" t="s">
        <v>70</v>
      </c>
      <c r="E42" s="30">
        <v>-447.21</v>
      </c>
    </row>
    <row r="43" spans="2:5" x14ac:dyDescent="0.2">
      <c r="B43" s="4">
        <v>2215</v>
      </c>
      <c r="C43" s="2" t="s">
        <v>110</v>
      </c>
      <c r="E43" s="30">
        <v>0</v>
      </c>
    </row>
    <row r="44" spans="2:5" x14ac:dyDescent="0.2">
      <c r="B44" s="4">
        <v>2216</v>
      </c>
      <c r="C44" s="2" t="s">
        <v>112</v>
      </c>
      <c r="E44" s="30">
        <v>0</v>
      </c>
    </row>
    <row r="45" spans="2:5" x14ac:dyDescent="0.2">
      <c r="B45" s="32" t="s">
        <v>55</v>
      </c>
      <c r="C45" s="10" t="s">
        <v>71</v>
      </c>
      <c r="D45" s="33"/>
      <c r="E45" s="33">
        <f>SUM(E42:E44)</f>
        <v>-447.21</v>
      </c>
    </row>
    <row r="47" spans="2:5" x14ac:dyDescent="0.2">
      <c r="B47" s="4">
        <v>2901</v>
      </c>
      <c r="C47" s="2" t="s">
        <v>72</v>
      </c>
      <c r="E47" s="30">
        <v>0</v>
      </c>
    </row>
    <row r="48" spans="2:5" x14ac:dyDescent="0.2">
      <c r="B48" s="4">
        <v>2951</v>
      </c>
      <c r="C48" s="2" t="s">
        <v>73</v>
      </c>
      <c r="E48" s="30">
        <v>0</v>
      </c>
    </row>
    <row r="49" spans="2:5" x14ac:dyDescent="0.2">
      <c r="B49" s="4">
        <v>2952</v>
      </c>
      <c r="C49" s="2" t="s">
        <v>102</v>
      </c>
      <c r="E49" s="30">
        <v>0</v>
      </c>
    </row>
    <row r="50" spans="2:5" x14ac:dyDescent="0.2">
      <c r="B50" s="4">
        <v>2955</v>
      </c>
      <c r="C50" s="2" t="s">
        <v>74</v>
      </c>
      <c r="E50" s="30">
        <v>3060.09</v>
      </c>
    </row>
    <row r="51" spans="2:5" x14ac:dyDescent="0.2">
      <c r="B51" s="4">
        <v>2961</v>
      </c>
      <c r="C51" s="2" t="s">
        <v>113</v>
      </c>
      <c r="E51" s="30">
        <v>7140</v>
      </c>
    </row>
    <row r="52" spans="2:5" x14ac:dyDescent="0.2">
      <c r="B52" s="4">
        <v>2956</v>
      </c>
      <c r="C52" s="2" t="s">
        <v>75</v>
      </c>
      <c r="E52" s="30">
        <v>0</v>
      </c>
    </row>
    <row r="53" spans="2:5" x14ac:dyDescent="0.2">
      <c r="B53" s="4">
        <v>5063</v>
      </c>
      <c r="C53" s="2" t="s">
        <v>70</v>
      </c>
      <c r="E53" s="30">
        <v>0</v>
      </c>
    </row>
    <row r="54" spans="2:5" x14ac:dyDescent="0.2">
      <c r="B54" s="32" t="s">
        <v>55</v>
      </c>
      <c r="C54" s="10" t="s">
        <v>76</v>
      </c>
      <c r="D54" s="33"/>
      <c r="E54" s="33">
        <f>SUM(E47:E53)</f>
        <v>10200.09</v>
      </c>
    </row>
    <row r="56" spans="2:5" x14ac:dyDescent="0.2">
      <c r="B56" s="32" t="s">
        <v>55</v>
      </c>
      <c r="C56" s="10" t="s">
        <v>77</v>
      </c>
      <c r="D56" s="33"/>
      <c r="E56" s="33">
        <f>SUM(E36+E40+E45+E54)</f>
        <v>9758.93</v>
      </c>
    </row>
    <row r="57" spans="2:5" x14ac:dyDescent="0.2">
      <c r="B57" s="32"/>
      <c r="C57" s="10"/>
      <c r="D57" s="33"/>
      <c r="E57" s="33"/>
    </row>
    <row r="58" spans="2:5" x14ac:dyDescent="0.2">
      <c r="B58" s="32"/>
      <c r="C58" s="34" t="s">
        <v>81</v>
      </c>
      <c r="D58" s="35"/>
      <c r="E58" s="35">
        <v>0</v>
      </c>
    </row>
    <row r="60" spans="2:5" x14ac:dyDescent="0.2">
      <c r="B60" s="32" t="s">
        <v>55</v>
      </c>
      <c r="C60" s="10" t="s">
        <v>78</v>
      </c>
      <c r="D60" s="33"/>
      <c r="E60" s="33">
        <f>D30+D32-E56-E58</f>
        <v>1263946.2200000002</v>
      </c>
    </row>
    <row r="62" spans="2:5" x14ac:dyDescent="0.2">
      <c r="B62" s="30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</row>
    <row r="2" spans="1:13" x14ac:dyDescent="0.2">
      <c r="A2" s="62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1"/>
    </row>
    <row r="3" spans="1:13" x14ac:dyDescent="0.2">
      <c r="A3" s="59" t="s">
        <v>99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G13+'[2]FS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2026-04-09T14:14:09Z</cp:lastPrinted>
  <dcterms:created xsi:type="dcterms:W3CDTF">2019-05-01T17:02:22Z</dcterms:created>
  <dcterms:modified xsi:type="dcterms:W3CDTF">2026-05-08T17:54:46Z</dcterms:modified>
</cp:coreProperties>
</file>