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oweta-my.sharepoint.com/personal/kfreeman_coweta_ga_us/Documents/CCDA Board/Board Meetings/August 2025/"/>
    </mc:Choice>
  </mc:AlternateContent>
  <xr:revisionPtr revIDLastSave="0" documentId="8_{D84803B9-4BD2-4BCC-9F6E-1BD6736CF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  <externalReference r:id="rId9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I15" i="3"/>
  <c r="I14" i="3"/>
  <c r="I13" i="3"/>
  <c r="I12" i="2"/>
  <c r="I22" i="1"/>
  <c r="I21" i="1"/>
  <c r="I20" i="1"/>
  <c r="I19" i="1"/>
  <c r="I18" i="1"/>
  <c r="I17" i="1"/>
  <c r="I16" i="1"/>
  <c r="G16" i="1"/>
  <c r="G15" i="1"/>
  <c r="G14" i="1"/>
  <c r="I8" i="2"/>
  <c r="I8" i="1"/>
  <c r="G14" i="3" l="1"/>
  <c r="K15" i="1" l="1"/>
  <c r="K14" i="1"/>
  <c r="I10" i="1" l="1"/>
  <c r="I9" i="1"/>
  <c r="K15" i="3" l="1"/>
  <c r="K20" i="1"/>
  <c r="I11" i="1"/>
  <c r="I7" i="8" s="1"/>
  <c r="E45" i="5"/>
  <c r="E15" i="8"/>
  <c r="E13" i="2"/>
  <c r="E16" i="1"/>
  <c r="E15" i="1"/>
  <c r="E8" i="8"/>
  <c r="E36" i="5"/>
  <c r="G11" i="1"/>
  <c r="E16" i="8"/>
  <c r="E14" i="3"/>
  <c r="E11" i="1"/>
  <c r="E7" i="8" s="1"/>
  <c r="K16" i="3"/>
  <c r="I16" i="3"/>
  <c r="I8" i="3"/>
  <c r="K14" i="3" l="1"/>
  <c r="K9" i="1"/>
  <c r="E17" i="3" l="1"/>
  <c r="I14" i="4"/>
  <c r="K10" i="8" l="1"/>
  <c r="K8" i="3"/>
  <c r="E10" i="3"/>
  <c r="E9" i="8" s="1"/>
  <c r="E9" i="2"/>
  <c r="E10" i="4"/>
  <c r="I13" i="4" l="1"/>
  <c r="G7" i="8" l="1"/>
  <c r="I17" i="3" l="1"/>
  <c r="I16" i="8" s="1"/>
  <c r="G17" i="3"/>
  <c r="G16" i="8" s="1"/>
  <c r="K13" i="3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15" i="8" s="1"/>
  <c r="K8" i="1"/>
  <c r="E54" i="5"/>
  <c r="E40" i="5"/>
  <c r="D28" i="5"/>
  <c r="D11" i="5"/>
  <c r="D30" i="5" s="1"/>
  <c r="E16" i="4"/>
  <c r="K14" i="4"/>
  <c r="K9" i="4"/>
  <c r="K8" i="4"/>
  <c r="K10" i="3"/>
  <c r="K9" i="8" s="1"/>
  <c r="I10" i="3"/>
  <c r="G10" i="3"/>
  <c r="G11" i="8" s="1"/>
  <c r="E20" i="3"/>
  <c r="G13" i="2"/>
  <c r="K8" i="2"/>
  <c r="K9" i="2" s="1"/>
  <c r="K8" i="8" s="1"/>
  <c r="E23" i="1"/>
  <c r="E14" i="8" s="1"/>
  <c r="E18" i="8" s="1"/>
  <c r="K22" i="1"/>
  <c r="K19" i="1"/>
  <c r="K21" i="1"/>
  <c r="K18" i="1"/>
  <c r="K16" i="1"/>
  <c r="K10" i="1"/>
  <c r="I9" i="8" l="1"/>
  <c r="K11" i="1"/>
  <c r="K7" i="8" s="1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7" i="1"/>
  <c r="I23" i="1"/>
  <c r="I14" i="8" s="1"/>
  <c r="I11" i="8" l="1"/>
  <c r="I19" i="4"/>
  <c r="I17" i="8"/>
  <c r="I18" i="8" s="1"/>
  <c r="G26" i="1"/>
  <c r="G14" i="8"/>
  <c r="G18" i="8" s="1"/>
  <c r="G21" i="8" s="1"/>
  <c r="I16" i="2"/>
  <c r="E60" i="5"/>
  <c r="K23" i="1"/>
  <c r="K14" i="8" s="1"/>
  <c r="I26" i="1"/>
  <c r="I21" i="8" l="1"/>
  <c r="E11" i="8"/>
  <c r="E21" i="8" s="1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<sst xmlns="http://schemas.openxmlformats.org/spreadsheetml/2006/main" count="161" uniqueCount="115">
  <si>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</si>
  <si>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</si>
  <si>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</si>
  <si>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</si>
  <si>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</si>
  <si>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</si>
  <si>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</si>
  <si>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</si>
  <si>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</si>
  <si>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</si>
  <si>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</si>
  <si>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</si>
  <si>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</si>
  <si>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</si>
  <si>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</si>
  <si>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</si>
  <si>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</si>
  <si>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</si>
  <si>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</si>
  <si>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</si>
  <si>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</si>
  <si>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</si>
  <si>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</si>
  <si>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</si>
  <si>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</si>
  <si>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</si>
  <si>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</si>
  <si>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</si>
  <si>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</si>
  <si>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</si>
  <si>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</si>
  <si>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</si>
  <si>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</si>
  <si>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</si>
  <si>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</si>
  <si>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</si>
  <si>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</si>
  <si>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</si>
  <si>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</si>
  <si>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</si>
  <si>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</si>
  <si>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</si>
  <si>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</si>
  <si>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</si>
  <si>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</si>
  <si>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</si>
  <si>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</si>
  <si>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</si>
  <si>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</si>
  <si>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</si>
  <si>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</si>
  <si>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</si>
  <si>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</si>
  <si>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</si>
  <si>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</si>
  <si>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</si>
  <si>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</si>
  <si>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</si>
  <si>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</si>
  <si>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</si>
  <si>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</si>
  <si>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</si>
  <si>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</si>
  <si>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</si>
  <si>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</si>
  <si>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</si>
  <si>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</si>
  <si>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</si>
  <si>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</si>
  <si>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</si>
  <si>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</si>
  <si>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</si>
  <si>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</si>
  <si>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</si>
  <si>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</si>
  <si>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</si>
  <si>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</si>
  <si>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</si>
  <si>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</si>
  <si>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</si>
  <si>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</si>
  <si>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</si>
  <si>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</si>
  <si>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</si>
  <si>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</si>
  <si>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</si>
  <si>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</si>
  <si>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</si>
  <si>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</si>
  <si>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</si>
  <si>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</si>
  <si>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</si>
  <si>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</si>
  <si>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</si>
  <si>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</si>
  <si>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</si>
  <si>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</si>
  <si>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</si>
  <si>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</si>
  <si>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</si>
  <si>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</si>
  <si>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</si>
  <si>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</si>
  <si>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</si>
  <si>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</si>
  <si>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</si>
  <si>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</si>
  <si>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</si>
  <si>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</si>
  <si>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</si>
  <si>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</si>
  <si>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</si>
  <si>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</si>
  <si>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COMPENSATED ABSENCES-ST</t>
  </si>
  <si>
    <t>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</si>
</sst>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Continuous" vertical="center"/>
    </xf>
    <xf numFmtId="164" fontId="2" fillId="2" borderId="0" xfId="1" applyNumberFormat="1" applyFont="1" applyFill="1" applyAlignment="1">
      <alignment horizontal="centerContinuous" vertical="center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2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resa\Development%20Authority%20FY25\Dev%20Auth-9%20June%20FY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resa\Development%20Authority%20FY25\Dev%20Auth-4%20Jan%20FY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resa\Development%20Authority%20FY20\Dev%20Auth-11%20Aug%20FY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8">
          <cell r="I8">
            <v>295314.02999999991</v>
          </cell>
        </row>
        <row r="16">
          <cell r="I16">
            <v>9324.4</v>
          </cell>
        </row>
        <row r="17">
          <cell r="I17">
            <v>323.52</v>
          </cell>
        </row>
        <row r="18">
          <cell r="I18">
            <v>15485.7</v>
          </cell>
        </row>
        <row r="19">
          <cell r="I19">
            <v>1316.13</v>
          </cell>
        </row>
        <row r="20">
          <cell r="I20">
            <v>29322</v>
          </cell>
        </row>
        <row r="21">
          <cell r="I21">
            <v>12159.52</v>
          </cell>
        </row>
        <row r="22">
          <cell r="I22">
            <v>8669.15</v>
          </cell>
        </row>
      </sheetData>
      <sheetData sheetId="2">
        <row r="8">
          <cell r="I8">
            <v>21257.800000000003</v>
          </cell>
        </row>
        <row r="12">
          <cell r="I12">
            <v>22446.519999999997</v>
          </cell>
        </row>
      </sheetData>
      <sheetData sheetId="3">
        <row r="13">
          <cell r="I13">
            <v>31009.349999999995</v>
          </cell>
        </row>
        <row r="14">
          <cell r="I14">
            <v>7381.04</v>
          </cell>
        </row>
        <row r="15">
          <cell r="I15">
            <v>24071.949999999997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9">
          <cell r="I9">
            <v>10000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A3" sqref="A3"/>
    </sheetView>
  </sheetViews>
  <sheetFormatPr defaultColWidth="9.140625" defaultRowHeight="12.75" x14ac:dyDescent="0.2"/>
  <cols>
    <col min="1" max="2" width="5.7109375" style="38" customWidth="1"/>
    <col min="3" max="3" width="15.5703125" style="38" customWidth="1"/>
    <col min="4" max="4" width="25.42578125" style="38" customWidth="1"/>
    <col min="5" max="5" width="12.28515625" style="11" customWidth="1"/>
    <col min="6" max="6" width="2.7109375" style="38" customWidth="1"/>
    <col min="7" max="7" width="12.28515625" style="11" customWidth="1"/>
    <col min="8" max="8" width="2.7109375" style="38" customWidth="1"/>
    <col min="9" max="9" width="12.28515625" style="11" customWidth="1"/>
    <col min="10" max="10" width="3.28515625" style="38" bestFit="1" customWidth="1"/>
    <col min="11" max="11" width="12.28515625" style="11" customWidth="1"/>
    <col min="12" max="12" width="9.140625" style="39"/>
    <col min="13" max="16384" width="9.140625" style="38"/>
  </cols>
  <sheetData>
    <row r="1" spans="1:13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49"/>
    </row>
    <row r="2" spans="1:13" x14ac:dyDescent="0.2">
      <c r="A2" s="60" t="s">
        <v>114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48"/>
    </row>
    <row r="3" spans="1:13" x14ac:dyDescent="0.2">
      <c r="A3" s="41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3" x14ac:dyDescent="0.2">
      <c r="A4" s="41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3" x14ac:dyDescent="0.2">
      <c r="A5" s="46"/>
      <c r="E5" s="8" t="s">
        <v>2</v>
      </c>
      <c r="G5" s="8" t="s">
        <v>3</v>
      </c>
      <c r="H5" s="38" t="s">
        <v>4</v>
      </c>
      <c r="I5" s="8" t="s">
        <v>5</v>
      </c>
      <c r="J5" s="9"/>
      <c r="K5" s="8" t="s">
        <v>6</v>
      </c>
    </row>
    <row r="6" spans="1:13" x14ac:dyDescent="0.2">
      <c r="A6" s="58" t="s">
        <v>97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3" ht="15" x14ac:dyDescent="0.35">
      <c r="A7" s="18"/>
      <c r="C7" s="38" t="s">
        <v>96</v>
      </c>
      <c r="E7" s="20">
        <f>'FS -870 Operations'!E11</f>
        <v>393852</v>
      </c>
      <c r="F7" s="20"/>
      <c r="G7" s="20">
        <f>'FS -870 Operations'!G11</f>
        <v>32812.67</v>
      </c>
      <c r="H7" s="20"/>
      <c r="I7" s="20">
        <f>'FS -870 Operations'!I11</f>
        <v>338126.6999999999</v>
      </c>
      <c r="J7" s="24"/>
      <c r="K7" s="20">
        <f>'FS -870 Operations'!K11</f>
        <v>55725.300000000105</v>
      </c>
    </row>
    <row r="8" spans="1:13" s="11" customFormat="1" ht="15" x14ac:dyDescent="0.35">
      <c r="A8" s="38"/>
      <c r="B8" s="38"/>
      <c r="C8" s="38" t="s">
        <v>95</v>
      </c>
      <c r="D8" s="38"/>
      <c r="E8" s="20">
        <f>'FS -871 Street Lights'!E9</f>
        <v>30660</v>
      </c>
      <c r="F8" s="20"/>
      <c r="G8" s="20">
        <f>'FS -871 Street Lights'!G9</f>
        <v>0</v>
      </c>
      <c r="H8" s="20"/>
      <c r="I8" s="20">
        <f>'FS -871 Street Lights'!I9</f>
        <v>21257.800000000003</v>
      </c>
      <c r="J8" s="24"/>
      <c r="K8" s="20">
        <f>'FS -871 Street Lights'!K9</f>
        <v>9402.1999999999971</v>
      </c>
      <c r="L8" s="39"/>
      <c r="M8" s="38"/>
    </row>
    <row r="9" spans="1:13" ht="15" x14ac:dyDescent="0.35">
      <c r="C9" s="38" t="s">
        <v>94</v>
      </c>
      <c r="E9" s="20">
        <f>'FS -872 Bond Fees'!E10</f>
        <v>83820</v>
      </c>
      <c r="F9" s="20"/>
      <c r="G9" s="20">
        <v>0</v>
      </c>
      <c r="H9" s="20"/>
      <c r="I9" s="20">
        <f>'FS -872 Bond Fees'!I10</f>
        <v>20853.650000000001</v>
      </c>
      <c r="J9" s="24"/>
      <c r="K9" s="20">
        <f>'FS -872 Bond Fees'!K10</f>
        <v>62966.35</v>
      </c>
    </row>
    <row r="10" spans="1:13" ht="15" hidden="1" x14ac:dyDescent="0.35">
      <c r="C10" s="38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6" customFormat="1" x14ac:dyDescent="0.2">
      <c r="D11" s="36" t="s">
        <v>86</v>
      </c>
      <c r="E11" s="44">
        <f>SUM(E7+E8+E9+E10)</f>
        <v>508332</v>
      </c>
      <c r="F11" s="45"/>
      <c r="G11" s="44">
        <f>SUM(G7+G8+G9+G10)</f>
        <v>32812.67</v>
      </c>
      <c r="H11" s="45"/>
      <c r="I11" s="44">
        <f>SUM(I7+I8+I9+I10)</f>
        <v>380238.14999999991</v>
      </c>
      <c r="J11" s="45"/>
      <c r="K11" s="43"/>
      <c r="L11" s="42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8" t="s">
        <v>92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3" ht="15" x14ac:dyDescent="0.35">
      <c r="A14" s="13"/>
      <c r="C14" s="38" t="s">
        <v>91</v>
      </c>
      <c r="E14" s="20">
        <f>'FS -870 Operations'!E23</f>
        <v>430012</v>
      </c>
      <c r="F14" s="20"/>
      <c r="G14" s="20">
        <f>SUM('FS -870 Operations'!G23)</f>
        <v>29815.519999999997</v>
      </c>
      <c r="H14" s="20"/>
      <c r="I14" s="20">
        <f>SUM('FS -870 Operations'!I23)</f>
        <v>315974</v>
      </c>
      <c r="J14" s="17"/>
      <c r="K14" s="20">
        <f>'FS -870 Operations'!K23</f>
        <v>114037.99999999999</v>
      </c>
    </row>
    <row r="15" spans="1:13" ht="15" x14ac:dyDescent="0.35">
      <c r="C15" s="38" t="s">
        <v>90</v>
      </c>
      <c r="E15" s="20">
        <f>'FS -871 Street Lights'!E13</f>
        <v>29500</v>
      </c>
      <c r="F15" s="20"/>
      <c r="G15" s="20">
        <f>SUM('FS -871 Street Lights'!G13)</f>
        <v>2514.89</v>
      </c>
      <c r="H15" s="20"/>
      <c r="I15" s="20">
        <f>SUM('FS -871 Street Lights'!I13)</f>
        <v>24961.409999999996</v>
      </c>
      <c r="J15" s="24"/>
      <c r="K15" s="20">
        <f>'FS -871 Street Lights'!K13</f>
        <v>4538.5900000000038</v>
      </c>
    </row>
    <row r="16" spans="1:13" ht="15" x14ac:dyDescent="0.35">
      <c r="C16" s="38" t="s">
        <v>89</v>
      </c>
      <c r="E16" s="20">
        <f>'FS -872 Bond Fees'!E17</f>
        <v>48820</v>
      </c>
      <c r="F16" s="20"/>
      <c r="G16" s="20">
        <f>SUM('FS -872 Bond Fees'!G17)</f>
        <v>15481.800000000001</v>
      </c>
      <c r="H16" s="20"/>
      <c r="I16" s="20">
        <f>SUM('FS -872 Bond Fees'!I17)</f>
        <v>77944.14</v>
      </c>
      <c r="J16" s="24"/>
      <c r="K16" s="20">
        <f>'FS -872 Bond Fees'!K17</f>
        <v>-29124.14</v>
      </c>
    </row>
    <row r="17" spans="1:13" ht="15" hidden="1" x14ac:dyDescent="0.35">
      <c r="C17" s="38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6" customFormat="1" x14ac:dyDescent="0.2">
      <c r="D18" s="36" t="s">
        <v>87</v>
      </c>
      <c r="E18" s="44">
        <f>E14+E15+E16+E17</f>
        <v>508332</v>
      </c>
      <c r="F18" s="45"/>
      <c r="G18" s="44">
        <f>G14+G15+G16+G17</f>
        <v>47812.21</v>
      </c>
      <c r="H18" s="45"/>
      <c r="I18" s="44">
        <f>I14+I15+I16+I17</f>
        <v>418879.55</v>
      </c>
      <c r="K18" s="43"/>
      <c r="L18" s="42"/>
    </row>
    <row r="19" spans="1:13" x14ac:dyDescent="0.2">
      <c r="A19" s="41"/>
      <c r="H19" s="40"/>
      <c r="J19" s="16"/>
      <c r="K19" s="20"/>
    </row>
    <row r="20" spans="1:13" x14ac:dyDescent="0.2">
      <c r="A20" s="22"/>
      <c r="H20" s="40"/>
      <c r="J20" s="16"/>
    </row>
    <row r="21" spans="1:13" x14ac:dyDescent="0.2">
      <c r="A21" s="41"/>
      <c r="B21" s="36" t="s">
        <v>21</v>
      </c>
      <c r="E21" s="20">
        <f>SUM(E11-E18)</f>
        <v>0</v>
      </c>
      <c r="G21" s="20">
        <f>SUM(G11-G18)</f>
        <v>-14999.54</v>
      </c>
      <c r="H21" s="40"/>
      <c r="I21" s="20">
        <f>SUM(I11-I18)</f>
        <v>-38641.400000000081</v>
      </c>
      <c r="J21" s="16"/>
      <c r="K21" s="20"/>
    </row>
    <row r="22" spans="1:13" x14ac:dyDescent="0.2">
      <c r="A22" s="41"/>
      <c r="H22" s="40"/>
      <c r="J22" s="16"/>
    </row>
    <row r="23" spans="1:13" x14ac:dyDescent="0.2">
      <c r="H23" s="40"/>
      <c r="J23" s="40"/>
    </row>
    <row r="24" spans="1:13" x14ac:dyDescent="0.2">
      <c r="H24" s="40"/>
      <c r="J24" s="40"/>
    </row>
    <row r="25" spans="1:13" s="11" customForma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38"/>
    </row>
    <row r="26" spans="1:13" s="11" customFormat="1" x14ac:dyDescent="0.2">
      <c r="A26" s="38"/>
      <c r="B26" s="38"/>
      <c r="C26" s="38"/>
      <c r="D26" s="38"/>
      <c r="F26" s="38"/>
      <c r="H26" s="40"/>
      <c r="J26" s="40"/>
      <c r="L26" s="39"/>
      <c r="M26" s="38"/>
    </row>
    <row r="27" spans="1:13" x14ac:dyDescent="0.2">
      <c r="K27" s="20"/>
    </row>
    <row r="28" spans="1:13" x14ac:dyDescent="0.2">
      <c r="B28" s="36"/>
      <c r="E28" s="20"/>
      <c r="G28" s="20"/>
      <c r="H28" s="40"/>
      <c r="I28" s="20"/>
      <c r="J28" s="16"/>
      <c r="K28" s="20"/>
    </row>
    <row r="32" spans="1:13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x14ac:dyDescent="0.2">
      <c r="E33" s="20"/>
      <c r="G33" s="20"/>
      <c r="I33" s="20"/>
      <c r="K33" s="20"/>
    </row>
    <row r="35" spans="1:12" x14ac:dyDescent="0.2">
      <c r="B35" s="36"/>
      <c r="E35" s="20"/>
      <c r="G35" s="20"/>
      <c r="I35" s="20"/>
    </row>
    <row r="39" spans="1:12" x14ac:dyDescent="0.2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</row>
    <row r="40" spans="1:12" x14ac:dyDescent="0.2">
      <c r="E40" s="20"/>
      <c r="G40" s="20"/>
      <c r="I40" s="20"/>
      <c r="K40" s="20"/>
    </row>
    <row r="42" spans="1:12" x14ac:dyDescent="0.2">
      <c r="B42" s="36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3" sqref="A3:L3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1:13" x14ac:dyDescent="0.2">
      <c r="A3" s="60" t="s">
        <v>114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2" t="s">
        <v>8</v>
      </c>
      <c r="D8" s="62"/>
      <c r="E8" s="11">
        <v>393752</v>
      </c>
      <c r="F8" s="14"/>
      <c r="G8" s="11">
        <v>32812.67</v>
      </c>
      <c r="H8" s="15"/>
      <c r="I8" s="11">
        <f>G8+'[1]FS -870 Operations'!$I$8</f>
        <v>328126.6999999999</v>
      </c>
      <c r="J8" s="16"/>
      <c r="K8" s="11">
        <f>SUM(E8-I8)</f>
        <v>65625.300000000105</v>
      </c>
    </row>
    <row r="9" spans="1:13" x14ac:dyDescent="0.2">
      <c r="A9" s="13"/>
      <c r="C9" s="14" t="s">
        <v>108</v>
      </c>
      <c r="D9" s="14"/>
      <c r="F9" s="14"/>
      <c r="G9" s="11">
        <v>0</v>
      </c>
      <c r="H9" s="15"/>
      <c r="I9" s="11">
        <f>G9+'[2]FS -870 Operations'!$I$9</f>
        <v>10000</v>
      </c>
      <c r="J9" s="16"/>
      <c r="K9" s="11">
        <f>SUM(E9-I9)</f>
        <v>-10000</v>
      </c>
    </row>
    <row r="10" spans="1:13" x14ac:dyDescent="0.2">
      <c r="A10" s="13"/>
      <c r="C10" s="14" t="s">
        <v>9</v>
      </c>
      <c r="D10" s="14"/>
      <c r="E10" s="20">
        <v>100</v>
      </c>
      <c r="F10" s="14"/>
      <c r="G10" s="11">
        <v>0</v>
      </c>
      <c r="H10" s="15"/>
      <c r="I10" s="51">
        <f>G10</f>
        <v>0</v>
      </c>
      <c r="J10" s="16"/>
      <c r="K10" s="11">
        <f>SUM(E10-I10)</f>
        <v>100</v>
      </c>
    </row>
    <row r="11" spans="1:13" ht="15" x14ac:dyDescent="0.35">
      <c r="A11" s="18"/>
      <c r="C11" s="2" t="s">
        <v>10</v>
      </c>
      <c r="E11" s="19">
        <f>SUM(E8:E10)</f>
        <v>393852</v>
      </c>
      <c r="F11" s="20"/>
      <c r="G11" s="19">
        <f>SUM(G8:G10)</f>
        <v>32812.67</v>
      </c>
      <c r="H11" s="20"/>
      <c r="I11" s="19">
        <f>I8+I9+I10</f>
        <v>338126.6999999999</v>
      </c>
      <c r="J11" s="17"/>
      <c r="K11" s="19">
        <f>SUM(K8:K10)</f>
        <v>55725.300000000105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v>237027</v>
      </c>
      <c r="G14" s="11">
        <f>14539.66+732.16</f>
        <v>15271.82</v>
      </c>
      <c r="H14" s="15"/>
      <c r="I14" s="11">
        <v>172495.7</v>
      </c>
      <c r="J14" s="16"/>
      <c r="K14" s="11">
        <f>E14-I14</f>
        <v>64531.299999999988</v>
      </c>
    </row>
    <row r="15" spans="1:13" x14ac:dyDescent="0.2">
      <c r="A15" s="13"/>
      <c r="C15" s="62" t="s">
        <v>13</v>
      </c>
      <c r="D15" s="62"/>
      <c r="E15" s="11">
        <f>14546+3437+37200+792+56+4212+13708+1320</f>
        <v>75271</v>
      </c>
      <c r="F15" s="14"/>
      <c r="G15" s="11">
        <f>908.28+212.42+1606.38+46.46+15.76+143.83+872.4+165</f>
        <v>3970.53</v>
      </c>
      <c r="H15" s="15"/>
      <c r="I15" s="11">
        <v>56304.71</v>
      </c>
      <c r="J15" s="16"/>
      <c r="K15" s="11">
        <f>SUM(E15-I15)</f>
        <v>18966.29</v>
      </c>
    </row>
    <row r="16" spans="1:13" x14ac:dyDescent="0.2">
      <c r="A16" s="13"/>
      <c r="C16" s="25" t="s">
        <v>14</v>
      </c>
      <c r="D16" s="14"/>
      <c r="E16" s="11">
        <f>4800+4335+342</f>
        <v>9477</v>
      </c>
      <c r="F16" s="14"/>
      <c r="G16" s="54">
        <f>800+500</f>
        <v>1300</v>
      </c>
      <c r="H16" s="15"/>
      <c r="I16" s="11">
        <f>G16+'[1]FS -870 Operations'!$I$16</f>
        <v>10624.4</v>
      </c>
      <c r="J16" s="16"/>
      <c r="K16" s="11">
        <f t="shared" ref="K16:K22" si="0">SUM(E16-I16)</f>
        <v>-1147.3999999999996</v>
      </c>
      <c r="L16" s="53"/>
    </row>
    <row r="17" spans="1:13" x14ac:dyDescent="0.2">
      <c r="A17" s="13"/>
      <c r="C17" s="2" t="s">
        <v>18</v>
      </c>
      <c r="E17" s="11">
        <v>492</v>
      </c>
      <c r="G17" s="11">
        <v>0</v>
      </c>
      <c r="H17" s="15"/>
      <c r="I17" s="11">
        <f>G17+'[1]FS -870 Operations'!$I$17</f>
        <v>323.52</v>
      </c>
      <c r="J17" s="16"/>
      <c r="K17" s="11">
        <f>SUM(E17-I17)</f>
        <v>168.48000000000002</v>
      </c>
    </row>
    <row r="18" spans="1:13" x14ac:dyDescent="0.2">
      <c r="A18" s="13"/>
      <c r="C18" s="2" t="s">
        <v>15</v>
      </c>
      <c r="E18" s="11">
        <v>28249</v>
      </c>
      <c r="G18" s="11">
        <v>912.96</v>
      </c>
      <c r="H18" s="15"/>
      <c r="I18" s="11">
        <f>G18+'[1]FS -870 Operations'!$I$18</f>
        <v>16398.66</v>
      </c>
      <c r="J18" s="16"/>
      <c r="K18" s="11">
        <f t="shared" si="0"/>
        <v>11850.34</v>
      </c>
    </row>
    <row r="19" spans="1:13" x14ac:dyDescent="0.2">
      <c r="A19" s="13"/>
      <c r="C19" s="62" t="s">
        <v>100</v>
      </c>
      <c r="D19" s="62"/>
      <c r="E19" s="11">
        <v>3500</v>
      </c>
      <c r="F19" s="14"/>
      <c r="G19" s="11">
        <v>614.41999999999996</v>
      </c>
      <c r="H19" s="15"/>
      <c r="I19" s="11">
        <f>G19+'[1]FS -870 Operations'!$I$19</f>
        <v>1930.5500000000002</v>
      </c>
      <c r="J19" s="16"/>
      <c r="K19" s="11">
        <f>SUM(E19-I19)</f>
        <v>1569.4499999999998</v>
      </c>
    </row>
    <row r="20" spans="1:13" x14ac:dyDescent="0.2">
      <c r="A20" s="13"/>
      <c r="C20" s="14" t="s">
        <v>107</v>
      </c>
      <c r="D20" s="14"/>
      <c r="E20" s="11">
        <v>39096</v>
      </c>
      <c r="F20" s="14"/>
      <c r="G20" s="11">
        <v>3258</v>
      </c>
      <c r="H20" s="15"/>
      <c r="I20" s="11">
        <f>G20+'[1]FS -870 Operations'!$I$20</f>
        <v>32580</v>
      </c>
      <c r="J20" s="16"/>
      <c r="K20" s="11">
        <f>SUM(E20-I20)</f>
        <v>6516</v>
      </c>
    </row>
    <row r="21" spans="1:13" x14ac:dyDescent="0.2">
      <c r="A21" s="13"/>
      <c r="C21" s="14" t="s">
        <v>17</v>
      </c>
      <c r="D21" s="14"/>
      <c r="E21" s="11">
        <v>20900</v>
      </c>
      <c r="F21" s="14"/>
      <c r="G21" s="11">
        <v>3595</v>
      </c>
      <c r="H21" s="15"/>
      <c r="I21" s="11">
        <f>G21+'[1]FS -870 Operations'!$I$21</f>
        <v>15754.52</v>
      </c>
      <c r="J21" s="16"/>
      <c r="K21" s="11">
        <f t="shared" si="0"/>
        <v>5145.4799999999996</v>
      </c>
    </row>
    <row r="22" spans="1:13" ht="15" x14ac:dyDescent="0.35">
      <c r="A22" s="13"/>
      <c r="C22" s="62" t="s">
        <v>19</v>
      </c>
      <c r="D22" s="62"/>
      <c r="E22" s="11">
        <v>16000</v>
      </c>
      <c r="F22" s="14"/>
      <c r="G22" s="11">
        <v>892.79</v>
      </c>
      <c r="H22" s="21"/>
      <c r="I22" s="51">
        <f>G22+'[1]FS -870 Operations'!$I$22</f>
        <v>9561.9399999999987</v>
      </c>
      <c r="J22" s="17"/>
      <c r="K22" s="11">
        <f t="shared" si="0"/>
        <v>6438.0600000000013</v>
      </c>
    </row>
    <row r="23" spans="1:13" ht="15" x14ac:dyDescent="0.35">
      <c r="A23" s="13"/>
      <c r="C23" s="2" t="s">
        <v>20</v>
      </c>
      <c r="E23" s="19">
        <f>SUM(E14:E22)</f>
        <v>430012</v>
      </c>
      <c r="F23" s="20"/>
      <c r="G23" s="19">
        <f>SUM(G14:G22)</f>
        <v>29815.519999999997</v>
      </c>
      <c r="H23" s="20"/>
      <c r="I23" s="19">
        <f>SUM(I14:I22)</f>
        <v>315974</v>
      </c>
      <c r="J23" s="17"/>
      <c r="K23" s="19">
        <f>SUM(K14:K22)</f>
        <v>114037.99999999999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-36160</v>
      </c>
      <c r="G26" s="20">
        <f>SUM(G11-G23)</f>
        <v>2997.1500000000015</v>
      </c>
      <c r="H26" s="15"/>
      <c r="I26" s="20">
        <f>SUM(I11-I23)</f>
        <v>22152.699999999895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22034.18-690.45</f>
        <v>21343.73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activeCell="A3" sqref="A3:L3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1:13" x14ac:dyDescent="0.2">
      <c r="A3" s="60" t="s">
        <v>114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30660</v>
      </c>
      <c r="G8" s="11">
        <v>0</v>
      </c>
      <c r="H8" s="15"/>
      <c r="I8" s="11">
        <f>G8+'[1]FS -871 Street Lights'!$I$8</f>
        <v>21257.800000000003</v>
      </c>
      <c r="J8" s="16"/>
      <c r="K8" s="11">
        <f>E8-I8</f>
        <v>9402.1999999999971</v>
      </c>
      <c r="L8" s="6"/>
    </row>
    <row r="9" spans="1:13" ht="15" x14ac:dyDescent="0.35">
      <c r="A9" s="18"/>
      <c r="C9" s="2" t="s">
        <v>26</v>
      </c>
      <c r="E9" s="19">
        <f>E8</f>
        <v>30660</v>
      </c>
      <c r="F9" s="20"/>
      <c r="G9" s="19">
        <f>G8</f>
        <v>0</v>
      </c>
      <c r="H9" s="20"/>
      <c r="I9" s="19">
        <f>I8</f>
        <v>21257.800000000003</v>
      </c>
      <c r="J9" s="17"/>
      <c r="K9" s="19">
        <f>SUM(K8)</f>
        <v>9402.1999999999971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29500</v>
      </c>
      <c r="G12" s="20">
        <v>2514.89</v>
      </c>
      <c r="H12" s="24"/>
      <c r="I12" s="11">
        <f>G12+'[1]FS -871 Street Lights'!$I$12</f>
        <v>24961.409999999996</v>
      </c>
      <c r="J12" s="17"/>
      <c r="K12" s="11">
        <f>SUM(E12-I12)</f>
        <v>4538.5900000000038</v>
      </c>
    </row>
    <row r="13" spans="1:13" ht="15" x14ac:dyDescent="0.35">
      <c r="A13" s="13"/>
      <c r="C13" s="2" t="s">
        <v>28</v>
      </c>
      <c r="E13" s="19">
        <f>E12</f>
        <v>29500</v>
      </c>
      <c r="F13" s="20"/>
      <c r="G13" s="19">
        <f>SUM(G12)</f>
        <v>2514.89</v>
      </c>
      <c r="H13" s="20"/>
      <c r="I13" s="19">
        <f>SUM(I12)</f>
        <v>24961.409999999996</v>
      </c>
      <c r="J13" s="17"/>
      <c r="K13" s="19">
        <f>SUM(K12)</f>
        <v>4538.5900000000038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1160</v>
      </c>
      <c r="G16" s="20">
        <f>SUM(G9-G13)</f>
        <v>-2514.89</v>
      </c>
      <c r="H16" s="15"/>
      <c r="I16" s="20">
        <f>SUM(I9-I13)</f>
        <v>-3703.6099999999933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3" x14ac:dyDescent="0.2">
      <c r="A2" s="64" t="s">
        <v>32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x14ac:dyDescent="0.2">
      <c r="A3" s="60" t="s">
        <v>114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48820</v>
      </c>
      <c r="F8" s="14"/>
      <c r="G8" s="11">
        <v>0</v>
      </c>
      <c r="H8" s="15"/>
      <c r="I8" s="11">
        <f>G8</f>
        <v>0</v>
      </c>
      <c r="J8" s="17"/>
      <c r="K8" s="11">
        <f>SUM(E8-I8)</f>
        <v>48820</v>
      </c>
    </row>
    <row r="9" spans="1:13" ht="15" x14ac:dyDescent="0.35">
      <c r="A9" s="13"/>
      <c r="C9" s="62" t="s">
        <v>9</v>
      </c>
      <c r="D9" s="62"/>
      <c r="E9" s="11">
        <v>35000</v>
      </c>
      <c r="F9" s="14"/>
      <c r="G9" s="11">
        <v>0</v>
      </c>
      <c r="H9" s="15"/>
      <c r="I9" s="51">
        <v>20853.650000000001</v>
      </c>
      <c r="J9" s="17"/>
      <c r="K9" s="11">
        <f>SUM(E9-I9)</f>
        <v>14146.349999999999</v>
      </c>
      <c r="L9" s="6"/>
    </row>
    <row r="10" spans="1:13" ht="15" x14ac:dyDescent="0.35">
      <c r="A10" s="18"/>
      <c r="C10" s="2" t="s">
        <v>35</v>
      </c>
      <c r="E10" s="19">
        <f>E8+E9</f>
        <v>83820</v>
      </c>
      <c r="F10" s="20"/>
      <c r="G10" s="19">
        <f>SUM(G8:G9)</f>
        <v>0</v>
      </c>
      <c r="H10" s="20"/>
      <c r="I10" s="19">
        <f>SUM(I8:I9)</f>
        <v>20853.650000000001</v>
      </c>
      <c r="J10" s="17"/>
      <c r="K10" s="19">
        <f>SUM(K8:K9)</f>
        <v>62966.35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3276.46</v>
      </c>
      <c r="H13" s="15"/>
      <c r="I13" s="11">
        <f>G13+'[1]FS -872 Bond Fees'!$I$13</f>
        <v>34285.81</v>
      </c>
      <c r="J13" s="16"/>
      <c r="K13" s="11">
        <f>SUM(E13-I13)</f>
        <v>8714.1900000000023</v>
      </c>
    </row>
    <row r="14" spans="1:13" x14ac:dyDescent="0.2">
      <c r="A14" s="13"/>
      <c r="B14" s="10"/>
      <c r="C14" s="62" t="s">
        <v>13</v>
      </c>
      <c r="D14" s="62"/>
      <c r="E14" s="11">
        <f>2640+620+2560</f>
        <v>5820</v>
      </c>
      <c r="G14" s="11">
        <f>203.14+47.5+196.58</f>
        <v>447.22</v>
      </c>
      <c r="H14" s="15"/>
      <c r="I14" s="11">
        <f>G14+'[1]FS -872 Bond Fees'!$I$14</f>
        <v>7828.26</v>
      </c>
      <c r="J14" s="16"/>
      <c r="K14" s="11">
        <f t="shared" ref="K14:K16" si="0">SUM(E14-I14)</f>
        <v>-2008.2600000000002</v>
      </c>
    </row>
    <row r="15" spans="1:13" x14ac:dyDescent="0.2">
      <c r="A15" s="13"/>
      <c r="B15" s="10"/>
      <c r="C15" s="2" t="s">
        <v>16</v>
      </c>
      <c r="E15" s="11">
        <v>0</v>
      </c>
      <c r="G15" s="11">
        <v>11758.12</v>
      </c>
      <c r="H15" s="15"/>
      <c r="I15" s="11">
        <f>G15+'[1]FS -872 Bond Fees'!$I$15</f>
        <v>35830.07</v>
      </c>
      <c r="J15" s="16"/>
      <c r="K15" s="11">
        <f t="shared" si="0"/>
        <v>-35830.07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51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15481.800000000001</v>
      </c>
      <c r="H17" s="20"/>
      <c r="I17" s="19">
        <f>SUM(I13:I16)</f>
        <v>77944.14</v>
      </c>
      <c r="J17" s="17"/>
      <c r="K17" s="19">
        <f>SUM(K13:K16)</f>
        <v>-29124.14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35000</v>
      </c>
      <c r="G20" s="20">
        <f>SUM(G10-G17)</f>
        <v>-15481.800000000001</v>
      </c>
      <c r="H20" s="15"/>
      <c r="I20" s="20">
        <f>SUM(I10-I17)</f>
        <v>-57090.49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1206052.44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2"/>
  <sheetViews>
    <sheetView workbookViewId="0">
      <selection activeCell="A4" sqref="A4"/>
    </sheetView>
  </sheetViews>
  <sheetFormatPr defaultRowHeight="12.75" x14ac:dyDescent="0.2"/>
  <cols>
    <col min="1" max="1" width="9.140625" style="33"/>
    <col min="2" max="2" width="14.7109375" style="4" customWidth="1"/>
    <col min="3" max="3" width="36.28515625" style="2" customWidth="1"/>
    <col min="4" max="4" width="17.42578125" style="32" bestFit="1" customWidth="1"/>
    <col min="5" max="5" width="19" style="32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4" t="s">
        <v>48</v>
      </c>
      <c r="B2" s="64"/>
      <c r="C2" s="64"/>
      <c r="D2" s="64"/>
      <c r="E2" s="64"/>
      <c r="F2" s="26"/>
      <c r="G2" s="26"/>
      <c r="H2" s="26"/>
      <c r="I2" s="26"/>
      <c r="K2" s="11"/>
    </row>
    <row r="3" spans="1:12" x14ac:dyDescent="0.2">
      <c r="A3" s="60" t="s">
        <v>114</v>
      </c>
      <c r="B3" s="60"/>
      <c r="C3" s="60"/>
      <c r="D3" s="60"/>
      <c r="E3" s="60"/>
      <c r="F3" s="50"/>
      <c r="G3" s="50"/>
      <c r="H3" s="50"/>
      <c r="I3" s="50"/>
      <c r="J3" s="50"/>
      <c r="K3" s="50"/>
      <c r="L3" s="50"/>
    </row>
    <row r="4" spans="1:12" x14ac:dyDescent="0.2">
      <c r="A4" s="55"/>
      <c r="B4" s="55"/>
      <c r="C4" s="55"/>
      <c r="D4" s="56"/>
      <c r="E4" s="57"/>
      <c r="F4" s="29"/>
      <c r="G4" s="11"/>
      <c r="I4" s="11"/>
      <c r="J4" s="30"/>
      <c r="K4" s="11"/>
    </row>
    <row r="5" spans="1:12" x14ac:dyDescent="0.2">
      <c r="A5" s="27"/>
      <c r="B5" s="4">
        <v>1010</v>
      </c>
      <c r="C5" s="31" t="s">
        <v>49</v>
      </c>
      <c r="D5" s="32">
        <v>0</v>
      </c>
      <c r="E5" s="28"/>
      <c r="F5" s="29"/>
      <c r="G5" s="11"/>
      <c r="I5" s="11"/>
      <c r="J5" s="30"/>
      <c r="K5" s="11"/>
    </row>
    <row r="6" spans="1:12" x14ac:dyDescent="0.2">
      <c r="B6" s="4">
        <v>1011</v>
      </c>
      <c r="C6" s="2" t="s">
        <v>50</v>
      </c>
      <c r="D6" s="32">
        <v>22034.18</v>
      </c>
    </row>
    <row r="7" spans="1:12" x14ac:dyDescent="0.2">
      <c r="A7" s="52" t="s">
        <v>105</v>
      </c>
      <c r="B7" s="4">
        <v>1019</v>
      </c>
      <c r="C7" s="2" t="s">
        <v>51</v>
      </c>
      <c r="D7" s="32">
        <v>1206052.44</v>
      </c>
      <c r="E7" s="32" t="s">
        <v>105</v>
      </c>
    </row>
    <row r="8" spans="1:12" x14ac:dyDescent="0.2">
      <c r="B8" s="4">
        <v>1020</v>
      </c>
      <c r="C8" s="2" t="s">
        <v>52</v>
      </c>
      <c r="D8" s="32">
        <v>0</v>
      </c>
    </row>
    <row r="9" spans="1:12" x14ac:dyDescent="0.2">
      <c r="B9" s="4">
        <v>1022</v>
      </c>
      <c r="C9" s="2" t="s">
        <v>53</v>
      </c>
      <c r="D9" s="32">
        <v>0</v>
      </c>
    </row>
    <row r="10" spans="1:12" x14ac:dyDescent="0.2">
      <c r="B10" s="4">
        <v>1099</v>
      </c>
      <c r="C10" s="2" t="s">
        <v>54</v>
      </c>
      <c r="D10" s="32">
        <v>-690.45</v>
      </c>
    </row>
    <row r="11" spans="1:12" x14ac:dyDescent="0.2">
      <c r="B11" s="34" t="s">
        <v>55</v>
      </c>
      <c r="C11" s="10" t="s">
        <v>49</v>
      </c>
      <c r="D11" s="35">
        <f>SUM(D5:D10)</f>
        <v>1227396.17</v>
      </c>
      <c r="E11" s="35"/>
    </row>
    <row r="13" spans="1:12" x14ac:dyDescent="0.2">
      <c r="B13" s="4">
        <v>1110</v>
      </c>
      <c r="C13" s="2" t="s">
        <v>56</v>
      </c>
      <c r="D13" s="32">
        <v>0</v>
      </c>
    </row>
    <row r="14" spans="1:12" x14ac:dyDescent="0.2">
      <c r="B14" s="4">
        <v>1135</v>
      </c>
      <c r="C14" s="2" t="s">
        <v>57</v>
      </c>
      <c r="D14" s="32">
        <v>0</v>
      </c>
    </row>
    <row r="15" spans="1:12" x14ac:dyDescent="0.2">
      <c r="B15" s="4">
        <v>1175</v>
      </c>
      <c r="C15" s="2" t="s">
        <v>58</v>
      </c>
      <c r="D15" s="32">
        <v>-0.4</v>
      </c>
    </row>
    <row r="16" spans="1:12" x14ac:dyDescent="0.2">
      <c r="B16" s="4">
        <v>1187</v>
      </c>
      <c r="C16" s="2" t="s">
        <v>103</v>
      </c>
      <c r="D16" s="32">
        <v>0</v>
      </c>
    </row>
    <row r="17" spans="1:4" x14ac:dyDescent="0.2">
      <c r="B17" s="4">
        <v>1190</v>
      </c>
      <c r="C17" s="2" t="s">
        <v>85</v>
      </c>
      <c r="D17" s="32">
        <v>0</v>
      </c>
    </row>
    <row r="18" spans="1:4" x14ac:dyDescent="0.2">
      <c r="B18" s="34" t="s">
        <v>55</v>
      </c>
      <c r="C18" s="10" t="s">
        <v>59</v>
      </c>
      <c r="D18" s="35">
        <f>SUM(D13:D17)</f>
        <v>-0.4</v>
      </c>
    </row>
    <row r="20" spans="1:4" x14ac:dyDescent="0.2">
      <c r="B20" s="4">
        <v>1451</v>
      </c>
      <c r="C20" s="2" t="s">
        <v>111</v>
      </c>
      <c r="D20" s="35">
        <v>4750</v>
      </c>
    </row>
    <row r="22" spans="1:4" s="32" customFormat="1" x14ac:dyDescent="0.2">
      <c r="A22" s="33"/>
      <c r="B22" s="4">
        <v>1501</v>
      </c>
      <c r="C22" s="2" t="s">
        <v>60</v>
      </c>
      <c r="D22" s="32">
        <v>189149.7</v>
      </c>
    </row>
    <row r="23" spans="1:4" s="32" customFormat="1" x14ac:dyDescent="0.2">
      <c r="A23" s="33"/>
      <c r="B23" s="4">
        <v>1510</v>
      </c>
      <c r="C23" s="2" t="s">
        <v>61</v>
      </c>
      <c r="D23" s="32">
        <v>8065.29</v>
      </c>
    </row>
    <row r="24" spans="1:4" s="32" customFormat="1" x14ac:dyDescent="0.2">
      <c r="A24" s="33"/>
      <c r="B24" s="4">
        <v>1530</v>
      </c>
      <c r="C24" s="2" t="s">
        <v>101</v>
      </c>
      <c r="D24" s="32">
        <v>0</v>
      </c>
    </row>
    <row r="25" spans="1:4" s="32" customFormat="1" x14ac:dyDescent="0.2">
      <c r="A25" s="33"/>
      <c r="B25" s="4">
        <v>1531</v>
      </c>
      <c r="C25" s="2" t="s">
        <v>104</v>
      </c>
      <c r="D25" s="32">
        <v>0.33</v>
      </c>
    </row>
    <row r="26" spans="1:4" s="32" customFormat="1" x14ac:dyDescent="0.2">
      <c r="A26" s="33"/>
      <c r="B26" s="4">
        <v>1545</v>
      </c>
      <c r="C26" s="2" t="s">
        <v>62</v>
      </c>
      <c r="D26" s="32">
        <v>24272.98</v>
      </c>
    </row>
    <row r="27" spans="1:4" s="32" customFormat="1" x14ac:dyDescent="0.2">
      <c r="A27" s="33"/>
      <c r="B27" s="4">
        <v>1546</v>
      </c>
      <c r="C27" s="2" t="s">
        <v>63</v>
      </c>
      <c r="D27" s="32">
        <v>-32338.27</v>
      </c>
    </row>
    <row r="28" spans="1:4" x14ac:dyDescent="0.2">
      <c r="B28" s="34" t="s">
        <v>55</v>
      </c>
      <c r="C28" s="10" t="s">
        <v>64</v>
      </c>
      <c r="D28" s="35">
        <f>SUM(D22:D27)</f>
        <v>189150.03000000003</v>
      </c>
    </row>
    <row r="30" spans="1:4" x14ac:dyDescent="0.2">
      <c r="B30" s="34" t="s">
        <v>55</v>
      </c>
      <c r="C30" s="10" t="s">
        <v>65</v>
      </c>
      <c r="D30" s="35">
        <f>SUM(D11+D18+D28)+D20</f>
        <v>1421295.8</v>
      </c>
    </row>
    <row r="32" spans="1:4" x14ac:dyDescent="0.2">
      <c r="C32" s="36" t="s">
        <v>80</v>
      </c>
      <c r="D32" s="37">
        <v>0</v>
      </c>
    </row>
    <row r="34" spans="2:5" x14ac:dyDescent="0.2">
      <c r="B34" s="4">
        <v>2050</v>
      </c>
      <c r="C34" s="2" t="s">
        <v>66</v>
      </c>
      <c r="E34" s="32">
        <v>-40.44</v>
      </c>
    </row>
    <row r="35" spans="2:5" x14ac:dyDescent="0.2">
      <c r="B35" s="4">
        <v>2052</v>
      </c>
      <c r="C35" s="2" t="s">
        <v>109</v>
      </c>
      <c r="E35" s="32">
        <v>0</v>
      </c>
    </row>
    <row r="36" spans="2:5" x14ac:dyDescent="0.2">
      <c r="B36" s="34" t="s">
        <v>55</v>
      </c>
      <c r="C36" s="10" t="s">
        <v>66</v>
      </c>
      <c r="D36" s="35"/>
      <c r="E36" s="35">
        <f>SUM(E34:E35)</f>
        <v>-40.44</v>
      </c>
    </row>
    <row r="38" spans="2:5" x14ac:dyDescent="0.2">
      <c r="B38" s="4">
        <v>2115</v>
      </c>
      <c r="C38" s="2" t="s">
        <v>67</v>
      </c>
      <c r="E38" s="32">
        <v>0</v>
      </c>
    </row>
    <row r="39" spans="2:5" x14ac:dyDescent="0.2">
      <c r="B39" s="4">
        <v>2116</v>
      </c>
      <c r="C39" s="2" t="s">
        <v>68</v>
      </c>
      <c r="E39" s="32">
        <v>6.05</v>
      </c>
    </row>
    <row r="40" spans="2:5" x14ac:dyDescent="0.2">
      <c r="B40" s="34" t="s">
        <v>55</v>
      </c>
      <c r="C40" s="10" t="s">
        <v>69</v>
      </c>
      <c r="D40" s="35"/>
      <c r="E40" s="35">
        <f>SUM(E38:E39)</f>
        <v>6.05</v>
      </c>
    </row>
    <row r="42" spans="2:5" x14ac:dyDescent="0.2">
      <c r="B42" s="4">
        <v>2212</v>
      </c>
      <c r="C42" s="2" t="s">
        <v>70</v>
      </c>
      <c r="E42" s="32">
        <v>-447.21</v>
      </c>
    </row>
    <row r="43" spans="2:5" x14ac:dyDescent="0.2">
      <c r="B43" s="4">
        <v>2215</v>
      </c>
      <c r="C43" s="2" t="s">
        <v>110</v>
      </c>
      <c r="E43" s="32">
        <v>0</v>
      </c>
    </row>
    <row r="44" spans="2:5" x14ac:dyDescent="0.2">
      <c r="B44" s="4">
        <v>2216</v>
      </c>
      <c r="C44" s="2" t="s">
        <v>112</v>
      </c>
      <c r="E44" s="32">
        <v>0</v>
      </c>
    </row>
    <row r="45" spans="2:5" x14ac:dyDescent="0.2">
      <c r="B45" s="34" t="s">
        <v>55</v>
      </c>
      <c r="C45" s="10" t="s">
        <v>71</v>
      </c>
      <c r="D45" s="35"/>
      <c r="E45" s="35">
        <f>SUM(E42:E44)</f>
        <v>-447.21</v>
      </c>
    </row>
    <row r="47" spans="2:5" x14ac:dyDescent="0.2">
      <c r="B47" s="4">
        <v>2901</v>
      </c>
      <c r="C47" s="2" t="s">
        <v>72</v>
      </c>
      <c r="E47" s="32">
        <v>0</v>
      </c>
    </row>
    <row r="48" spans="2:5" x14ac:dyDescent="0.2">
      <c r="B48" s="4">
        <v>2951</v>
      </c>
      <c r="C48" s="2" t="s">
        <v>73</v>
      </c>
      <c r="E48" s="32">
        <v>0</v>
      </c>
    </row>
    <row r="49" spans="2:5" x14ac:dyDescent="0.2">
      <c r="B49" s="4">
        <v>2952</v>
      </c>
      <c r="C49" s="2" t="s">
        <v>102</v>
      </c>
      <c r="E49" s="32">
        <v>0</v>
      </c>
    </row>
    <row r="50" spans="2:5" x14ac:dyDescent="0.2">
      <c r="B50" s="4">
        <v>2955</v>
      </c>
      <c r="C50" s="2" t="s">
        <v>74</v>
      </c>
      <c r="E50" s="32">
        <v>2708.09</v>
      </c>
    </row>
    <row r="51" spans="2:5" x14ac:dyDescent="0.2">
      <c r="B51" s="4">
        <v>2961</v>
      </c>
      <c r="C51" s="2" t="s">
        <v>113</v>
      </c>
      <c r="E51" s="32">
        <v>6318</v>
      </c>
    </row>
    <row r="52" spans="2:5" x14ac:dyDescent="0.2">
      <c r="B52" s="4">
        <v>2956</v>
      </c>
      <c r="C52" s="2" t="s">
        <v>75</v>
      </c>
      <c r="E52" s="32">
        <v>0</v>
      </c>
    </row>
    <row r="53" spans="2:5" x14ac:dyDescent="0.2">
      <c r="B53" s="4">
        <v>5063</v>
      </c>
      <c r="C53" s="2" t="s">
        <v>70</v>
      </c>
      <c r="E53" s="32">
        <v>0</v>
      </c>
    </row>
    <row r="54" spans="2:5" x14ac:dyDescent="0.2">
      <c r="B54" s="34" t="s">
        <v>55</v>
      </c>
      <c r="C54" s="10" t="s">
        <v>76</v>
      </c>
      <c r="D54" s="35"/>
      <c r="E54" s="35">
        <f>SUM(E47:E53)</f>
        <v>9026.09</v>
      </c>
    </row>
    <row r="56" spans="2:5" x14ac:dyDescent="0.2">
      <c r="B56" s="34" t="s">
        <v>55</v>
      </c>
      <c r="C56" s="10" t="s">
        <v>77</v>
      </c>
      <c r="D56" s="35"/>
      <c r="E56" s="35">
        <f>SUM(E36+E40+E45+E54)</f>
        <v>8544.49</v>
      </c>
    </row>
    <row r="57" spans="2:5" x14ac:dyDescent="0.2">
      <c r="B57" s="34"/>
      <c r="C57" s="10"/>
      <c r="D57" s="35"/>
      <c r="E57" s="35"/>
    </row>
    <row r="58" spans="2:5" x14ac:dyDescent="0.2">
      <c r="B58" s="34"/>
      <c r="C58" s="36" t="s">
        <v>81</v>
      </c>
      <c r="D58" s="37"/>
      <c r="E58" s="37">
        <v>0</v>
      </c>
    </row>
    <row r="60" spans="2:5" x14ac:dyDescent="0.2">
      <c r="B60" s="34" t="s">
        <v>55</v>
      </c>
      <c r="C60" s="10" t="s">
        <v>78</v>
      </c>
      <c r="D60" s="35"/>
      <c r="E60" s="35">
        <f>D30+D32-E56-E58</f>
        <v>1412751.31</v>
      </c>
    </row>
    <row r="62" spans="2:5" x14ac:dyDescent="0.2">
      <c r="B62" s="32" t="s">
        <v>106</v>
      </c>
    </row>
  </sheetData>
  <mergeCells count="2">
    <mergeCell ref="A2:E2"/>
    <mergeCell ref="A3:E3"/>
  </mergeCells>
  <pageMargins left="0.5" right="0.5" top="0.19" bottom="0.18" header="0.17" footer="0.18"/>
  <pageSetup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3" x14ac:dyDescent="0.2">
      <c r="A2" s="63" t="s">
        <v>41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1:13" x14ac:dyDescent="0.2">
      <c r="A3" s="60" t="s">
        <v>99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G13+'[3]FS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Freeman, Kayson</cp:lastModifiedBy>
  <cp:lastPrinted>2025-07-07T17:33:08Z</cp:lastPrinted>
  <dcterms:created xsi:type="dcterms:W3CDTF">2019-05-01T17:02:22Z</dcterms:created>
  <dcterms:modified xsi:type="dcterms:W3CDTF">2025-08-04T18:00:32Z</dcterms:modified>
</cp:coreProperties>
</file>