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77EF75DA-2EB9-4D81-B869-5B6EAB77D109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</externalReferences>
  <definedNames>
    <definedName name="_xlnm.Print_Area" localSheetId="4">'Balance Sheet'!$A$1:$E$57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15" i="3"/>
  <c r="I14" i="3"/>
  <c r="I13" i="3"/>
  <c r="I12" i="2"/>
  <c r="I25" i="1"/>
  <c r="I23" i="1"/>
  <c r="I22" i="1"/>
  <c r="I21" i="1"/>
  <c r="I19" i="1"/>
  <c r="I18" i="1"/>
  <c r="G18" i="1"/>
  <c r="I17" i="1"/>
  <c r="G17" i="1"/>
  <c r="I16" i="1"/>
  <c r="G16" i="1"/>
  <c r="I15" i="1"/>
  <c r="I8" i="2"/>
  <c r="K15" i="3"/>
  <c r="G14" i="3"/>
  <c r="K22" i="1"/>
  <c r="I9" i="1"/>
  <c r="I20" i="1"/>
  <c r="I24" i="1"/>
  <c r="G12" i="1"/>
  <c r="E34" i="5"/>
  <c r="K10" i="1"/>
  <c r="E16" i="8"/>
  <c r="E14" i="3"/>
  <c r="E17" i="1"/>
  <c r="E16" i="1"/>
  <c r="E9" i="8"/>
  <c r="E12" i="1"/>
  <c r="E7" i="8" s="1"/>
  <c r="K16" i="3"/>
  <c r="I16" i="3"/>
  <c r="I8" i="3"/>
  <c r="K24" i="1"/>
  <c r="I11" i="1"/>
  <c r="K14" i="3" l="1"/>
  <c r="K15" i="1"/>
  <c r="K20" i="1" l="1"/>
  <c r="E17" i="3" l="1"/>
  <c r="I14" i="4"/>
  <c r="K10" i="8" l="1"/>
  <c r="K8" i="3"/>
  <c r="E10" i="3"/>
  <c r="E9" i="2"/>
  <c r="E10" i="4"/>
  <c r="I13" i="4" l="1"/>
  <c r="G7" i="8" l="1"/>
  <c r="I17" i="3" l="1"/>
  <c r="I16" i="8" s="1"/>
  <c r="G17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6" i="1" l="1"/>
  <c r="G16" i="4"/>
  <c r="K15" i="4"/>
  <c r="K17" i="3"/>
  <c r="K16" i="8" s="1"/>
  <c r="K12" i="2"/>
  <c r="K13" i="2" s="1"/>
  <c r="K15" i="8" s="1"/>
  <c r="E49" i="5"/>
  <c r="E41" i="5"/>
  <c r="E38" i="5"/>
  <c r="D26" i="5"/>
  <c r="D11" i="5"/>
  <c r="E16" i="4"/>
  <c r="K14" i="4"/>
  <c r="K9" i="4"/>
  <c r="K8" i="4"/>
  <c r="K10" i="3"/>
  <c r="K9" i="8" s="1"/>
  <c r="I10" i="3"/>
  <c r="G10" i="3"/>
  <c r="G11" i="8" s="1"/>
  <c r="E20" i="3"/>
  <c r="G13" i="2"/>
  <c r="K8" i="2"/>
  <c r="K9" i="2" s="1"/>
  <c r="K8" i="8" s="1"/>
  <c r="E26" i="1"/>
  <c r="E14" i="8" s="1"/>
  <c r="E18" i="8" s="1"/>
  <c r="K25" i="1"/>
  <c r="K21" i="1"/>
  <c r="K23" i="1"/>
  <c r="K19" i="1"/>
  <c r="K17" i="1"/>
  <c r="K11" i="1"/>
  <c r="I9" i="8" l="1"/>
  <c r="D28" i="5"/>
  <c r="G19" i="4"/>
  <c r="G17" i="8"/>
  <c r="G16" i="2"/>
  <c r="G15" i="8"/>
  <c r="E19" i="4"/>
  <c r="E29" i="1"/>
  <c r="E51" i="5"/>
  <c r="G20" i="3"/>
  <c r="I9" i="2"/>
  <c r="I8" i="8" s="1"/>
  <c r="G26" i="1"/>
  <c r="I16" i="4"/>
  <c r="I20" i="3"/>
  <c r="I13" i="2"/>
  <c r="I15" i="8" s="1"/>
  <c r="K10" i="4"/>
  <c r="K13" i="4"/>
  <c r="K16" i="4" s="1"/>
  <c r="K18" i="1"/>
  <c r="I26" i="1"/>
  <c r="I14" i="8" s="1"/>
  <c r="I19" i="4" l="1"/>
  <c r="I17" i="8"/>
  <c r="I18" i="8" s="1"/>
  <c r="G29" i="1"/>
  <c r="G14" i="8"/>
  <c r="G18" i="8" s="1"/>
  <c r="G21" i="8" s="1"/>
  <c r="I16" i="2"/>
  <c r="E55" i="5"/>
  <c r="K26" i="1"/>
  <c r="K14" i="8" s="1"/>
  <c r="E11" i="8" l="1"/>
  <c r="E21" i="8" s="1"/>
  <c r="E16" i="2"/>
  <c r="I8" i="1"/>
  <c r="I12" i="1" l="1"/>
  <c r="K8" i="1"/>
  <c r="K12" i="1" s="1"/>
  <c r="K7" i="8" s="1"/>
  <c r="I7" i="8" l="1"/>
  <c r="I11" i="8" s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<sst xmlns="http://schemas.openxmlformats.org/spreadsheetml/2006/main" count="160" uniqueCount="114">
  <si>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</si>
  <si>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</si>
  <si>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</si>
  <si>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</si>
  <si>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</si>
  <si>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</si>
  <si>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</si>
  <si>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</si>
  <si>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</si>
  <si>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</si>
  <si>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</si>
  <si>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</si>
  <si>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</si>
  <si>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</si>
  <si>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</si>
  <si>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</si>
  <si>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</si>
  <si>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</si>
  <si>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</si>
  <si>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</si>
  <si>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</si>
  <si>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</si>
  <si>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</si>
  <si>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</si>
  <si>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</si>
  <si>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</si>
  <si>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</si>
  <si>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</si>
  <si>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</si>
  <si>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</si>
  <si>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</si>
  <si>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</si>
  <si>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</si>
  <si>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</si>
  <si>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</si>
  <si>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</si>
  <si>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</si>
  <si>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</si>
  <si>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</si>
  <si>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</si>
  <si>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</si>
  <si>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</si>
  <si>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</si>
  <si>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</si>
  <si>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</si>
  <si>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</si>
  <si>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</si>
  <si>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</si>
  <si>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</si>
  <si>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</si>
  <si>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</si>
  <si>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</si>
  <si>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</si>
  <si>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</si>
  <si>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</si>
  <si>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</si>
  <si>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</si>
  <si>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</si>
  <si>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</si>
  <si>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</si>
  <si>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</si>
  <si>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</si>
  <si>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</si>
  <si>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</si>
  <si>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</si>
  <si>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</si>
  <si>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</si>
  <si>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</si>
  <si>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</si>
  <si>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</si>
  <si>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</si>
  <si>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</si>
  <si>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</si>
  <si>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</si>
  <si>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</si>
  <si>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</si>
  <si>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</si>
  <si>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</si>
  <si>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</si>
  <si>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</si>
  <si>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</si>
  <si>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</si>
  <si>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</si>
  <si>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</si>
  <si>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</si>
  <si>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</si>
  <si>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</si>
  <si>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</si>
  <si>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</si>
  <si>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</si>
  <si>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</si>
  <si>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</si>
  <si>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</si>
  <si>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</si>
  <si>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</si>
  <si>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</si>
  <si>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</si>
  <si>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</si>
  <si>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</si>
  <si>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</si>
  <si>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</si>
  <si>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</si>
  <si>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</si>
  <si>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</si>
  <si>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</si>
  <si>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</si>
  <si>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</si>
  <si>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</si>
  <si>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</si>
  <si>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</si>
  <si>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Donations</t>
  </si>
  <si>
    <t>ACCOUNTS PAYABLE-AUTOPAY</t>
  </si>
  <si>
    <t>Miscellaneous</t>
  </si>
  <si>
    <t>February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</si>
</sst>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3%20Dec%20FY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4%20Jan%20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102672</v>
          </cell>
        </row>
        <row r="9">
          <cell r="I9">
            <v>3924.53</v>
          </cell>
        </row>
      </sheetData>
      <sheetData sheetId="2">
        <row r="12">
          <cell r="I12">
            <v>7296.37</v>
          </cell>
        </row>
      </sheetData>
      <sheetData sheetId="3">
        <row r="13">
          <cell r="I13">
            <v>16467.609999999997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8">
          <cell r="I8">
            <v>136896</v>
          </cell>
        </row>
        <row r="15">
          <cell r="I15">
            <v>75576.800000000003</v>
          </cell>
        </row>
        <row r="16">
          <cell r="I16">
            <v>25698.05</v>
          </cell>
        </row>
        <row r="17">
          <cell r="I17">
            <v>1410</v>
          </cell>
        </row>
        <row r="18">
          <cell r="I18">
            <v>185.45</v>
          </cell>
        </row>
        <row r="19">
          <cell r="I19">
            <v>16251.32</v>
          </cell>
        </row>
        <row r="21">
          <cell r="I21">
            <v>193.93</v>
          </cell>
        </row>
        <row r="22">
          <cell r="I22">
            <v>12180</v>
          </cell>
        </row>
        <row r="23">
          <cell r="I23">
            <v>8710.8700000000008</v>
          </cell>
        </row>
        <row r="25">
          <cell r="I25">
            <v>2800.55</v>
          </cell>
        </row>
      </sheetData>
      <sheetData sheetId="2">
        <row r="8">
          <cell r="I8">
            <v>6300</v>
          </cell>
        </row>
        <row r="12">
          <cell r="I12">
            <v>9722.32</v>
          </cell>
        </row>
      </sheetData>
      <sheetData sheetId="3">
        <row r="13">
          <cell r="I13">
            <v>19744.069999999996</v>
          </cell>
        </row>
        <row r="14">
          <cell r="I14">
            <v>2090.2799999999997</v>
          </cell>
        </row>
        <row r="15">
          <cell r="I15">
            <v>7040.2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'FS -870 Operations'!E12</f>
        <v>410788</v>
      </c>
      <c r="F7" s="20"/>
      <c r="G7" s="20">
        <f>'FS -870 Operations'!G12</f>
        <v>34224</v>
      </c>
      <c r="H7" s="20"/>
      <c r="I7" s="20">
        <f>'FS -870 Operations'!I12</f>
        <v>180044.53</v>
      </c>
      <c r="J7" s="24"/>
      <c r="K7" s="20">
        <f>'FS -870 Operations'!K12</f>
        <v>230743.47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7277.85</v>
      </c>
      <c r="H8" s="20"/>
      <c r="I8" s="20">
        <f>'FS -871 Street Lights'!I9</f>
        <v>13577.85</v>
      </c>
      <c r="J8" s="24"/>
      <c r="K8" s="20">
        <f>'FS -871 Street Lights'!K9</f>
        <v>14422.15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v>0</v>
      </c>
      <c r="H9" s="20"/>
      <c r="I9" s="20">
        <f>'FS -872 Bond Fees'!I10</f>
        <v>3285.58</v>
      </c>
      <c r="J9" s="24"/>
      <c r="K9" s="20">
        <f>'FS -872 Bond Fees'!K10</f>
        <v>45534.42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41501.85</v>
      </c>
      <c r="H11" s="46"/>
      <c r="I11" s="45">
        <f>SUM(I7+I8+I9+I10)</f>
        <v>196907.96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f>'FS -870 Operations'!E26</f>
        <v>410789</v>
      </c>
      <c r="F14" s="20"/>
      <c r="G14" s="20">
        <f>SUM('FS -870 Operations'!G26)</f>
        <v>30181.239999999994</v>
      </c>
      <c r="H14" s="20"/>
      <c r="I14" s="20">
        <f>SUM('FS -870 Operations'!I26)</f>
        <v>173188.21</v>
      </c>
      <c r="J14" s="17"/>
      <c r="K14" s="20">
        <f>'FS -870 Operations'!K26</f>
        <v>237600.79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2439.39</v>
      </c>
      <c r="H15" s="20"/>
      <c r="I15" s="20">
        <f>SUM('FS -871 Street Lights'!I13)</f>
        <v>12161.71</v>
      </c>
      <c r="J15" s="24"/>
      <c r="K15" s="20">
        <f>'FS -871 Street Lights'!K13</f>
        <v>15838.29</v>
      </c>
    </row>
    <row r="16" spans="1:13" ht="15" x14ac:dyDescent="0.35">
      <c r="C16" s="39" t="s">
        <v>89</v>
      </c>
      <c r="E16" s="20">
        <f>'FS -872 Bond Fees'!E17</f>
        <v>48820</v>
      </c>
      <c r="F16" s="20"/>
      <c r="G16" s="20">
        <f>SUM('FS -872 Bond Fees'!G17)</f>
        <v>5383.72</v>
      </c>
      <c r="H16" s="20"/>
      <c r="I16" s="20">
        <f>SUM('FS -872 Bond Fees'!I17)</f>
        <v>34258.269999999997</v>
      </c>
      <c r="J16" s="24"/>
      <c r="K16" s="20">
        <f>'FS -872 Bond Fees'!K17</f>
        <v>14561.730000000005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38004.349999999991</v>
      </c>
      <c r="H18" s="46"/>
      <c r="I18" s="45">
        <f>I14+I15+I16+I17</f>
        <v>219608.18999999997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3497.5000000000073</v>
      </c>
      <c r="H21" s="41"/>
      <c r="I21" s="20">
        <f>SUM(I11-I18)</f>
        <v>-22700.229999999981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410688</v>
      </c>
      <c r="F8" s="14"/>
      <c r="G8" s="11">
        <v>34224</v>
      </c>
      <c r="H8" s="15"/>
      <c r="I8" s="11">
        <f>G8+'[3]FS -870 Operations'!$I$8</f>
        <v>171120</v>
      </c>
      <c r="J8" s="16"/>
      <c r="K8" s="11">
        <f>SUM(E8-I8)</f>
        <v>239568</v>
      </c>
    </row>
    <row r="9" spans="1:13" x14ac:dyDescent="0.2">
      <c r="A9" s="13"/>
      <c r="C9" s="14" t="s">
        <v>112</v>
      </c>
      <c r="D9" s="14"/>
      <c r="E9" s="11">
        <v>0</v>
      </c>
      <c r="F9" s="14"/>
      <c r="G9" s="11">
        <v>0</v>
      </c>
      <c r="H9" s="15"/>
      <c r="I9" s="11">
        <f>G9+'[1]FS -870 Operations'!$I$9</f>
        <v>3924.53</v>
      </c>
      <c r="J9" s="16"/>
      <c r="K9" s="11">
        <v>-3924.53</v>
      </c>
    </row>
    <row r="10" spans="1:13" x14ac:dyDescent="0.2">
      <c r="A10" s="13"/>
      <c r="C10" s="14" t="s">
        <v>110</v>
      </c>
      <c r="D10" s="14"/>
      <c r="E10" s="11">
        <v>0</v>
      </c>
      <c r="F10" s="14"/>
      <c r="G10" s="11">
        <v>0</v>
      </c>
      <c r="H10" s="15"/>
      <c r="I10" s="11">
        <v>5000</v>
      </c>
      <c r="J10" s="16"/>
      <c r="K10" s="11">
        <f>SUM(E10-I10)</f>
        <v>-5000</v>
      </c>
    </row>
    <row r="11" spans="1:13" x14ac:dyDescent="0.2">
      <c r="A11" s="13"/>
      <c r="C11" s="14" t="s">
        <v>9</v>
      </c>
      <c r="D11" s="14"/>
      <c r="E11" s="20">
        <v>100</v>
      </c>
      <c r="F11" s="14"/>
      <c r="G11" s="11">
        <v>0</v>
      </c>
      <c r="H11" s="15"/>
      <c r="I11" s="11">
        <f>G11</f>
        <v>0</v>
      </c>
      <c r="J11" s="16"/>
      <c r="K11" s="11">
        <f>SUM(E11-I11)</f>
        <v>100</v>
      </c>
    </row>
    <row r="12" spans="1:13" ht="15" x14ac:dyDescent="0.35">
      <c r="A12" s="18"/>
      <c r="C12" s="2" t="s">
        <v>10</v>
      </c>
      <c r="E12" s="19">
        <f>SUM(E8:E11)</f>
        <v>410788</v>
      </c>
      <c r="F12" s="20"/>
      <c r="G12" s="19">
        <f>SUM(G8:G11)</f>
        <v>34224</v>
      </c>
      <c r="H12" s="20"/>
      <c r="I12" s="19">
        <f>SUM(I8:I11)</f>
        <v>180044.53</v>
      </c>
      <c r="J12" s="17"/>
      <c r="K12" s="19">
        <f>SUM(K8:K11)</f>
        <v>230743.47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217966</v>
      </c>
      <c r="G15" s="11">
        <v>17061.939999999999</v>
      </c>
      <c r="H15" s="15"/>
      <c r="I15" s="11">
        <f>G15+'[3]FS -870 Operations'!$I$15</f>
        <v>92638.74</v>
      </c>
      <c r="J15" s="16"/>
      <c r="K15" s="11">
        <f>E15-I15</f>
        <v>125327.26</v>
      </c>
    </row>
    <row r="16" spans="1:13" x14ac:dyDescent="0.2">
      <c r="A16" s="13"/>
      <c r="C16" s="59" t="s">
        <v>13</v>
      </c>
      <c r="D16" s="59"/>
      <c r="E16" s="11">
        <f>13514+3161+46000+42+48+1812+9845+1320</f>
        <v>75742</v>
      </c>
      <c r="F16" s="14"/>
      <c r="G16" s="11">
        <f>998.68+233.56+3324.96+60.98+195.58+1023.72</f>
        <v>5837.48</v>
      </c>
      <c r="H16" s="15"/>
      <c r="I16" s="11">
        <f>G16+'[3]FS -870 Operations'!$I$16</f>
        <v>31535.53</v>
      </c>
      <c r="J16" s="16"/>
      <c r="K16" s="11">
        <f t="shared" ref="K16:K25" si="0">SUM(E16-I16)</f>
        <v>44206.47</v>
      </c>
    </row>
    <row r="17" spans="1:12" x14ac:dyDescent="0.2">
      <c r="A17" s="13"/>
      <c r="C17" s="14" t="s">
        <v>14</v>
      </c>
      <c r="D17" s="14"/>
      <c r="E17" s="11">
        <f>300+4800+5335+280</f>
        <v>10715</v>
      </c>
      <c r="F17" s="14"/>
      <c r="G17" s="11">
        <f>400+2160</f>
        <v>2560</v>
      </c>
      <c r="H17" s="15"/>
      <c r="I17" s="11">
        <f>G17+'[3]FS -870 Operations'!$I$17</f>
        <v>3970</v>
      </c>
      <c r="J17" s="16"/>
      <c r="K17" s="11">
        <f t="shared" si="0"/>
        <v>6745</v>
      </c>
      <c r="L17" s="54"/>
    </row>
    <row r="18" spans="1:12" x14ac:dyDescent="0.2">
      <c r="A18" s="13"/>
      <c r="C18" s="2" t="s">
        <v>18</v>
      </c>
      <c r="E18" s="11">
        <v>1828</v>
      </c>
      <c r="G18" s="11">
        <f>40.4+6.77</f>
        <v>47.17</v>
      </c>
      <c r="H18" s="15"/>
      <c r="I18" s="11">
        <f>G18+'[3]FS -870 Operations'!$I$18</f>
        <v>232.62</v>
      </c>
      <c r="J18" s="16"/>
      <c r="K18" s="11">
        <f>SUM(E18-I18)</f>
        <v>1595.38</v>
      </c>
    </row>
    <row r="19" spans="1:12" x14ac:dyDescent="0.2">
      <c r="A19" s="13"/>
      <c r="C19" s="2" t="s">
        <v>15</v>
      </c>
      <c r="E19" s="11">
        <v>27410</v>
      </c>
      <c r="G19" s="11">
        <v>921.1</v>
      </c>
      <c r="H19" s="15"/>
      <c r="I19" s="11">
        <f>G19+'[3]FS -870 Operations'!$I$19</f>
        <v>17172.419999999998</v>
      </c>
      <c r="J19" s="16"/>
      <c r="K19" s="11">
        <f t="shared" si="0"/>
        <v>10237.580000000002</v>
      </c>
    </row>
    <row r="20" spans="1:12" x14ac:dyDescent="0.2">
      <c r="A20" s="13"/>
      <c r="C20" s="59" t="s">
        <v>100</v>
      </c>
      <c r="D20" s="59"/>
      <c r="E20" s="11">
        <v>0</v>
      </c>
      <c r="F20" s="14"/>
      <c r="G20" s="11">
        <v>0</v>
      </c>
      <c r="H20" s="15"/>
      <c r="I20" s="11">
        <f t="shared" ref="I20:I24" si="1">G20</f>
        <v>0</v>
      </c>
      <c r="J20" s="16"/>
      <c r="K20" s="11">
        <f t="shared" si="0"/>
        <v>0</v>
      </c>
    </row>
    <row r="21" spans="1:12" x14ac:dyDescent="0.2">
      <c r="A21" s="13"/>
      <c r="C21" s="59" t="s">
        <v>101</v>
      </c>
      <c r="D21" s="59"/>
      <c r="E21" s="11">
        <v>2658</v>
      </c>
      <c r="F21" s="14"/>
      <c r="G21" s="11">
        <v>108.03</v>
      </c>
      <c r="H21" s="15"/>
      <c r="I21" s="11">
        <f>G21+'[3]FS -870 Operations'!$I$21</f>
        <v>301.96000000000004</v>
      </c>
      <c r="J21" s="16"/>
      <c r="K21" s="11">
        <f>SUM(E21-I21)</f>
        <v>2356.04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3045</v>
      </c>
      <c r="H22" s="15"/>
      <c r="I22" s="11">
        <f>G22+'[3]FS -870 Operations'!$I$22</f>
        <v>15225</v>
      </c>
      <c r="J22" s="16"/>
      <c r="K22" s="11">
        <f>SUM(E22-I22)</f>
        <v>21315</v>
      </c>
    </row>
    <row r="23" spans="1:12" x14ac:dyDescent="0.2">
      <c r="A23" s="13"/>
      <c r="C23" s="14" t="s">
        <v>17</v>
      </c>
      <c r="D23" s="14"/>
      <c r="E23" s="11">
        <v>18930</v>
      </c>
      <c r="F23" s="14"/>
      <c r="G23" s="11">
        <v>510</v>
      </c>
      <c r="H23" s="15"/>
      <c r="I23" s="11">
        <f>G23+'[3]FS -870 Operations'!$I$23</f>
        <v>9220.8700000000008</v>
      </c>
      <c r="J23" s="16"/>
      <c r="K23" s="11">
        <f t="shared" si="0"/>
        <v>9709.1299999999992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 t="shared" si="1"/>
        <v>0</v>
      </c>
      <c r="K24" s="11">
        <f>E24-I24</f>
        <v>0</v>
      </c>
    </row>
    <row r="25" spans="1:12" ht="15" x14ac:dyDescent="0.35">
      <c r="A25" s="13"/>
      <c r="C25" s="59" t="s">
        <v>19</v>
      </c>
      <c r="D25" s="59"/>
      <c r="E25" s="11">
        <v>19000</v>
      </c>
      <c r="F25" s="14"/>
      <c r="G25" s="11">
        <v>90.52</v>
      </c>
      <c r="H25" s="21"/>
      <c r="I25" s="52">
        <f>G25+'[3]FS -870 Operations'!$I$25</f>
        <v>2891.07</v>
      </c>
      <c r="J25" s="17"/>
      <c r="K25" s="11">
        <f t="shared" si="0"/>
        <v>16108.93</v>
      </c>
    </row>
    <row r="26" spans="1:12" ht="15" x14ac:dyDescent="0.35">
      <c r="A26" s="13"/>
      <c r="C26" s="2" t="s">
        <v>20</v>
      </c>
      <c r="E26" s="19">
        <f>SUM(E15:E25)</f>
        <v>410789</v>
      </c>
      <c r="F26" s="20"/>
      <c r="G26" s="19">
        <f>SUM(G15:G25)</f>
        <v>30181.239999999994</v>
      </c>
      <c r="H26" s="20"/>
      <c r="I26" s="19">
        <f>SUM(I15:I25)</f>
        <v>173188.21</v>
      </c>
      <c r="J26" s="17"/>
      <c r="K26" s="19">
        <f>SUM(K15:K25)</f>
        <v>237600.79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</v>
      </c>
      <c r="G29" s="20">
        <f>SUM(G12-G26)</f>
        <v>4042.7600000000057</v>
      </c>
      <c r="H29" s="15"/>
      <c r="I29" s="20">
        <f>SUM(I12-I26)</f>
        <v>6856.320000000007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33403.36+8501.81</f>
        <v>41905.17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7277.85</v>
      </c>
      <c r="H8" s="15"/>
      <c r="I8" s="11">
        <f>G8+'[3]FS -871 Street Lights'!$I$8</f>
        <v>13577.85</v>
      </c>
      <c r="J8" s="16"/>
      <c r="K8" s="11">
        <f>E8-I8</f>
        <v>14422.15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7277.85</v>
      </c>
      <c r="H9" s="20"/>
      <c r="I9" s="19">
        <f>I8</f>
        <v>13577.85</v>
      </c>
      <c r="J9" s="17"/>
      <c r="K9" s="19">
        <f>SUM(K8)</f>
        <v>14422.15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2439.39</v>
      </c>
      <c r="H12" s="24"/>
      <c r="I12" s="11">
        <f>G12+'[3]FS -871 Street Lights'!$I$12</f>
        <v>12161.71</v>
      </c>
      <c r="J12" s="17"/>
      <c r="K12" s="11">
        <f>SUM(E12-I12)</f>
        <v>15838.29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2439.39</v>
      </c>
      <c r="H13" s="20"/>
      <c r="I13" s="19">
        <f>SUM(I12)</f>
        <v>12161.71</v>
      </c>
      <c r="J13" s="17"/>
      <c r="K13" s="19">
        <f>SUM(K12)</f>
        <v>15838.29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4838.4600000000009</v>
      </c>
      <c r="H16" s="15"/>
      <c r="I16" s="20">
        <f>SUM(I9-I13)</f>
        <v>1416.1400000000012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59" t="s">
        <v>9</v>
      </c>
      <c r="D9" s="59"/>
      <c r="E9" s="11">
        <v>0</v>
      </c>
      <c r="F9" s="14"/>
      <c r="G9" s="11">
        <v>0</v>
      </c>
      <c r="H9" s="15"/>
      <c r="I9" s="52">
        <v>3285.58</v>
      </c>
      <c r="J9" s="17"/>
      <c r="K9" s="11">
        <f>SUM(E9-I9)</f>
        <v>-3285.58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0</v>
      </c>
      <c r="H10" s="20"/>
      <c r="I10" s="19">
        <f>SUM(I8:I9)</f>
        <v>3285.58</v>
      </c>
      <c r="J10" s="17"/>
      <c r="K10" s="19">
        <f>SUM(K8:K9)</f>
        <v>45534.42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G13+'[3]FS -872 Bond Fees'!$I$13</f>
        <v>23020.529999999995</v>
      </c>
      <c r="J13" s="16"/>
      <c r="K13" s="11">
        <f>SUM(E13-I13)</f>
        <v>19979.470000000005</v>
      </c>
    </row>
    <row r="14" spans="1:13" x14ac:dyDescent="0.2">
      <c r="A14" s="13"/>
      <c r="B14" s="10"/>
      <c r="C14" s="59" t="s">
        <v>13</v>
      </c>
      <c r="D14" s="59"/>
      <c r="E14" s="11">
        <f>2640+620+2560</f>
        <v>5820</v>
      </c>
      <c r="G14" s="11">
        <f>203.14+47.5+196.58</f>
        <v>447.22</v>
      </c>
      <c r="H14" s="15"/>
      <c r="I14" s="11">
        <f>G14+'[3]FS -872 Bond Fees'!$I$14</f>
        <v>2537.5</v>
      </c>
      <c r="J14" s="16"/>
      <c r="K14" s="11">
        <f t="shared" ref="K14:K16" si="0">SUM(E14-I14)</f>
        <v>3282.5</v>
      </c>
    </row>
    <row r="15" spans="1:13" x14ac:dyDescent="0.2">
      <c r="A15" s="13"/>
      <c r="B15" s="10"/>
      <c r="C15" s="2" t="s">
        <v>16</v>
      </c>
      <c r="E15" s="11">
        <v>0</v>
      </c>
      <c r="G15" s="11">
        <v>1660.04</v>
      </c>
      <c r="H15" s="15"/>
      <c r="I15" s="11">
        <f>G15+'[3]FS -872 Bond Fees'!$I$15</f>
        <v>8700.24</v>
      </c>
      <c r="J15" s="16"/>
      <c r="K15" s="11">
        <f t="shared" si="0"/>
        <v>-8700.24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48820</v>
      </c>
      <c r="F17" s="20"/>
      <c r="G17" s="19">
        <f>SUM(G13:G16)</f>
        <v>5383.72</v>
      </c>
      <c r="H17" s="20"/>
      <c r="I17" s="19">
        <f>SUM(I13:I16)</f>
        <v>34258.269999999997</v>
      </c>
      <c r="J17" s="17"/>
      <c r="K17" s="19">
        <f>SUM(K13:K16)</f>
        <v>14561.730000000005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0</v>
      </c>
      <c r="G20" s="20">
        <f>SUM(G10-G17)</f>
        <v>-5383.72</v>
      </c>
      <c r="H20" s="15"/>
      <c r="I20" s="20">
        <f>SUM(I10-I17)</f>
        <v>-30972.689999999995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1242941.8500000001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113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33403.46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1242941.8500000001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8501.81</v>
      </c>
    </row>
    <row r="11" spans="1:12" x14ac:dyDescent="0.2">
      <c r="B11" s="35" t="s">
        <v>55</v>
      </c>
      <c r="C11" s="10" t="s">
        <v>49</v>
      </c>
      <c r="D11" s="36">
        <f>SUM(D5:D10)</f>
        <v>1284847.1200000001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-32338.27</v>
      </c>
    </row>
    <row r="26" spans="1:5" x14ac:dyDescent="0.2">
      <c r="B26" s="35" t="s">
        <v>55</v>
      </c>
      <c r="C26" s="10" t="s">
        <v>64</v>
      </c>
      <c r="D26" s="36">
        <f>SUM(D20:D25)</f>
        <v>189150.03000000003</v>
      </c>
    </row>
    <row r="28" spans="1:5" x14ac:dyDescent="0.2">
      <c r="B28" s="35" t="s">
        <v>55</v>
      </c>
      <c r="C28" s="10" t="s">
        <v>65</v>
      </c>
      <c r="D28" s="36">
        <f>SUM(D11+D18+D26)</f>
        <v>1474999.1300000001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4">
        <v>2052</v>
      </c>
      <c r="C33" s="2" t="s">
        <v>111</v>
      </c>
      <c r="E33" s="33">
        <v>0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0</v>
      </c>
    </row>
    <row r="36" spans="2:5" x14ac:dyDescent="0.2">
      <c r="B36" s="4">
        <v>2115</v>
      </c>
      <c r="C36" s="2" t="s">
        <v>67</v>
      </c>
      <c r="E36" s="33">
        <v>844.54</v>
      </c>
    </row>
    <row r="37" spans="2:5" x14ac:dyDescent="0.2">
      <c r="B37" s="4">
        <v>2116</v>
      </c>
      <c r="C37" s="2" t="s">
        <v>68</v>
      </c>
      <c r="E37" s="33">
        <v>203.56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1048.0999999999999</v>
      </c>
    </row>
    <row r="40" spans="2:5" x14ac:dyDescent="0.2">
      <c r="B40" s="4">
        <v>2212</v>
      </c>
      <c r="C40" s="2" t="s">
        <v>70</v>
      </c>
      <c r="E40" s="33">
        <v>465.93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465.93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13967.27</v>
      </c>
    </row>
    <row r="45" spans="2:5" x14ac:dyDescent="0.2">
      <c r="B45" s="4">
        <v>2952</v>
      </c>
      <c r="C45" s="2" t="s">
        <v>103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13967.36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15481.390000000001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1459517.7400000002</v>
      </c>
    </row>
    <row r="57" spans="2:5" x14ac:dyDescent="0.2">
      <c r="B57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G13+'[2]FS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2024-03-05T13:59:42Z</cp:lastPrinted>
  <dcterms:created xsi:type="dcterms:W3CDTF">2019-05-01T17:02:22Z</dcterms:created>
  <dcterms:modified xsi:type="dcterms:W3CDTF">2024-03-05T14:00:54Z</dcterms:modified>
</cp:coreProperties>
</file>