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3\"/>
    </mc:Choice>
  </mc:AlternateContent>
  <xr:revisionPtr revIDLastSave="0" documentId="13_ncr:1_{91855D63-7784-4279-9080-973E953E98A3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4">'Balance Sheet'!$A$1:$E$56</definedName>
    <definedName name="_xlnm.Print_Area" localSheetId="1">'FS -870 Operations'!$A$1:$K$34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I15" i="3"/>
  <c r="I14" i="3"/>
  <c r="I13" i="3"/>
  <c r="I12" i="2"/>
  <c r="I25" i="1"/>
  <c r="I22" i="1"/>
  <c r="I21" i="1"/>
  <c r="I20" i="1"/>
  <c r="I19" i="1"/>
  <c r="I18" i="1"/>
  <c r="G18" i="1"/>
  <c r="I17" i="1"/>
  <c r="G17" i="1"/>
  <c r="I16" i="1"/>
  <c r="G16" i="1"/>
  <c r="I15" i="1"/>
  <c r="I11" i="1"/>
  <c r="I8" i="1"/>
  <c r="I23" i="1"/>
  <c r="I8" i="2"/>
  <c r="G14" i="3" l="1"/>
  <c r="I8" i="8"/>
  <c r="I10" i="1" l="1"/>
  <c r="K10" i="1" s="1"/>
  <c r="G12" i="1"/>
  <c r="E7" i="8" l="1"/>
  <c r="E12" i="1"/>
  <c r="K16" i="3"/>
  <c r="K15" i="3"/>
  <c r="I16" i="3"/>
  <c r="E18" i="1"/>
  <c r="E17" i="1"/>
  <c r="K22" i="1"/>
  <c r="E16" i="1"/>
  <c r="E17" i="3" l="1"/>
  <c r="I14" i="4"/>
  <c r="K10" i="8" l="1"/>
  <c r="K8" i="3"/>
  <c r="E10" i="3"/>
  <c r="E9" i="2"/>
  <c r="E10" i="4"/>
  <c r="I13" i="4" l="1"/>
  <c r="G7" i="8" l="1"/>
  <c r="G17" i="3" l="1"/>
  <c r="G16" i="8" s="1"/>
  <c r="E18" i="8" l="1"/>
  <c r="D18" i="5" l="1"/>
  <c r="I8" i="4"/>
  <c r="I10" i="4" l="1"/>
  <c r="I10" i="8" s="1"/>
  <c r="G10" i="4" l="1"/>
  <c r="G10" i="8" s="1"/>
  <c r="G9" i="2" l="1"/>
  <c r="G8" i="8" l="1"/>
  <c r="K9" i="3"/>
  <c r="G16" i="4" l="1"/>
  <c r="K15" i="4"/>
  <c r="K12" i="2"/>
  <c r="K13" i="2" s="1"/>
  <c r="K15" i="8" s="1"/>
  <c r="E48" i="5"/>
  <c r="E40" i="5"/>
  <c r="E37" i="5"/>
  <c r="E33" i="5"/>
  <c r="D26" i="5"/>
  <c r="D11" i="5"/>
  <c r="E16" i="4"/>
  <c r="K14" i="4"/>
  <c r="K9" i="4"/>
  <c r="K8" i="4"/>
  <c r="K10" i="3"/>
  <c r="K9" i="8" s="1"/>
  <c r="I10" i="3"/>
  <c r="I9" i="8" s="1"/>
  <c r="G10" i="3"/>
  <c r="G11" i="8" s="1"/>
  <c r="E20" i="3"/>
  <c r="G13" i="2"/>
  <c r="K8" i="2"/>
  <c r="K9" i="2" s="1"/>
  <c r="K8" i="8" s="1"/>
  <c r="E26" i="1"/>
  <c r="K25" i="1"/>
  <c r="K21" i="1"/>
  <c r="K23" i="1"/>
  <c r="K19" i="1"/>
  <c r="K17" i="1"/>
  <c r="K9" i="1"/>
  <c r="D28" i="5" l="1"/>
  <c r="G19" i="4"/>
  <c r="G17" i="8"/>
  <c r="G16" i="2"/>
  <c r="G15" i="8"/>
  <c r="E19" i="4"/>
  <c r="E29" i="1"/>
  <c r="E50" i="5"/>
  <c r="G20" i="3"/>
  <c r="I9" i="2"/>
  <c r="G26" i="1"/>
  <c r="I16" i="4"/>
  <c r="I13" i="2"/>
  <c r="I15" i="8" s="1"/>
  <c r="K10" i="4"/>
  <c r="K13" i="4"/>
  <c r="K16" i="4" s="1"/>
  <c r="I19" i="4" l="1"/>
  <c r="I17" i="8"/>
  <c r="G29" i="1"/>
  <c r="G14" i="8"/>
  <c r="G18" i="8" s="1"/>
  <c r="G21" i="8" s="1"/>
  <c r="I16" i="2"/>
  <c r="E54" i="5"/>
  <c r="E11" i="8" l="1"/>
  <c r="E21" i="8" s="1"/>
  <c r="E16" i="2"/>
  <c r="K14" i="3"/>
  <c r="I24" i="1"/>
  <c r="K24" i="1" s="1"/>
  <c r="K20" i="1"/>
  <c r="K18" i="1"/>
  <c r="K16" i="1"/>
  <c r="K13" i="3" l="1"/>
  <c r="K17" i="3" s="1"/>
  <c r="K16" i="8" s="1"/>
  <c r="I17" i="3"/>
  <c r="K15" i="1"/>
  <c r="K26" i="1" s="1"/>
  <c r="K14" i="8" s="1"/>
  <c r="I26" i="1"/>
  <c r="I14" i="8" s="1"/>
  <c r="K11" i="1"/>
  <c r="I16" i="8" l="1"/>
  <c r="I18" i="8" s="1"/>
  <c r="I20" i="3"/>
  <c r="I12" i="1"/>
  <c r="K8" i="1"/>
  <c r="K12" i="1" s="1"/>
  <c r="K7" i="8" s="1"/>
  <c r="I7" i="8" l="1"/>
  <c r="I11" i="8" s="1"/>
  <c r="I21" i="8" s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<sst xmlns="http://schemas.openxmlformats.org/spreadsheetml/2006/main" count="159" uniqueCount="113">
  <si>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</si>
  <si>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</si>
  <si>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</si>
  <si>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</si>
  <si>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</si>
  <si>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</si>
  <si>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</si>
  <si>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</si>
  <si>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</si>
  <si>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</si>
  <si>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</si>
  <si>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</si>
  <si>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</si>
  <si>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</si>
  <si>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</si>
  <si>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</si>
  <si>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</si>
  <si>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</si>
  <si>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</si>
  <si>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</si>
  <si>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</si>
  <si>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</si>
  <si>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</si>
  <si>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</si>
  <si>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</si>
  <si>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</si>
  <si>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</si>
  <si>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</si>
  <si>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</si>
  <si>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</si>
  <si>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</si>
  <si>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</si>
  <si>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</si>
  <si>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</si>
  <si>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</si>
  <si>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</si>
  <si>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</si>
  <si>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</si>
  <si>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</si>
  <si>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</si>
  <si>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</si>
  <si>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</si>
  <si>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</si>
  <si>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</si>
  <si>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</si>
  <si>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</si>
  <si>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</si>
  <si>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</si>
  <si>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</si>
  <si>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</si>
  <si>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</si>
  <si>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</si>
  <si>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</si>
  <si>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</si>
  <si>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</si>
  <si>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</si>
  <si>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</si>
  <si>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</si>
  <si>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</si>
  <si>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</si>
  <si>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</si>
  <si>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</si>
  <si>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</si>
  <si>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</si>
  <si>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</si>
  <si>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</si>
  <si>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</si>
  <si>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</si>
  <si>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</si>
  <si>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</si>
  <si>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</si>
  <si>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</si>
  <si>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</si>
  <si>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</si>
  <si>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</si>
  <si>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</si>
  <si>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</si>
  <si>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</si>
  <si>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</si>
  <si>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</si>
  <si>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</si>
  <si>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</si>
  <si>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</si>
  <si>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</si>
  <si>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</si>
  <si>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</si>
  <si>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</si>
  <si>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</si>
  <si>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</si>
  <si>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</si>
  <si>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</si>
  <si>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</si>
  <si>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</si>
  <si>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</si>
  <si>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</si>
  <si>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</si>
  <si>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</si>
  <si>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</si>
  <si>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</si>
  <si>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</si>
  <si>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</si>
  <si>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</si>
  <si>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</si>
  <si>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</si>
  <si>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</si>
  <si>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</si>
  <si>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</si>
  <si>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</si>
  <si>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</si>
  <si>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</si>
  <si>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Use of Fund Balance</t>
  </si>
  <si>
    <t>Donations</t>
  </si>
  <si>
    <t>April 26,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</si>
</sst>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5%20Feb%20FY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2%20Nov%20FY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6%20Mar%20FY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8">
          <cell r="I8">
            <v>118798.51</v>
          </cell>
        </row>
        <row r="23">
          <cell r="I23">
            <v>8345</v>
          </cell>
        </row>
      </sheetData>
      <sheetData sheetId="2">
        <row r="8">
          <cell r="I8">
            <v>15120.59</v>
          </cell>
        </row>
      </sheetData>
      <sheetData sheetId="3">
        <row r="13">
          <cell r="I13">
            <v>18020.53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10">
          <cell r="I10">
            <v>20000</v>
          </cell>
        </row>
        <row r="24">
          <cell r="I24">
            <v>-1468.49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 refreshError="1"/>
      <sheetData sheetId="1">
        <row r="8">
          <cell r="I8">
            <v>137835.18</v>
          </cell>
        </row>
        <row r="11">
          <cell r="I11">
            <v>49999.98</v>
          </cell>
        </row>
        <row r="15">
          <cell r="I15">
            <v>116791.82</v>
          </cell>
        </row>
        <row r="16">
          <cell r="I16">
            <v>42333.389999999992</v>
          </cell>
        </row>
        <row r="17">
          <cell r="I17">
            <v>2333.4899999999998</v>
          </cell>
        </row>
        <row r="18">
          <cell r="I18">
            <v>840.61999999999989</v>
          </cell>
        </row>
        <row r="19">
          <cell r="I19">
            <v>24336.640000000003</v>
          </cell>
        </row>
        <row r="20">
          <cell r="I20">
            <v>480</v>
          </cell>
        </row>
        <row r="21">
          <cell r="I21">
            <v>918.58999999999992</v>
          </cell>
        </row>
        <row r="22">
          <cell r="I22">
            <v>15225</v>
          </cell>
        </row>
        <row r="25">
          <cell r="I25">
            <v>1363.02</v>
          </cell>
        </row>
      </sheetData>
      <sheetData sheetId="2">
        <row r="12">
          <cell r="I12">
            <v>13550.32</v>
          </cell>
        </row>
      </sheetData>
      <sheetData sheetId="3">
        <row r="13">
          <cell r="I13">
            <v>21296.989999999998</v>
          </cell>
        </row>
        <row r="14">
          <cell r="I14">
            <v>2906.9300000000003</v>
          </cell>
        </row>
        <row r="15">
          <cell r="I15">
            <v>44419.8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D56" sqref="D56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" x14ac:dyDescent="0.35">
      <c r="A7" s="18"/>
      <c r="C7" s="39" t="s">
        <v>96</v>
      </c>
      <c r="E7" s="20">
        <f>228440+25+100000</f>
        <v>328465</v>
      </c>
      <c r="F7" s="20"/>
      <c r="G7" s="20">
        <f>'FS -870 Operations'!G12</f>
        <v>27370</v>
      </c>
      <c r="H7" s="20"/>
      <c r="I7" s="20">
        <f>'FS -870 Operations'!I12</f>
        <v>235210.66999999998</v>
      </c>
      <c r="J7" s="24"/>
      <c r="K7" s="20">
        <f>'FS -870 Operations'!K12</f>
        <v>71587.640000000029</v>
      </c>
    </row>
    <row r="8" spans="1:13" s="11" customFormat="1" ht="15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0</v>
      </c>
      <c r="H8" s="20"/>
      <c r="I8" s="20">
        <f>'FS -871 Street Lights'!I8</f>
        <v>15120.59</v>
      </c>
      <c r="J8" s="24"/>
      <c r="K8" s="20">
        <f>'FS -871 Street Lights'!K9</f>
        <v>12879.41</v>
      </c>
      <c r="L8" s="40"/>
      <c r="M8" s="39"/>
    </row>
    <row r="9" spans="1:13" ht="15" x14ac:dyDescent="0.35">
      <c r="C9" s="39" t="s">
        <v>94</v>
      </c>
      <c r="E9" s="20">
        <v>100050</v>
      </c>
      <c r="F9" s="20"/>
      <c r="G9" s="20">
        <v>0</v>
      </c>
      <c r="H9" s="20"/>
      <c r="I9" s="20">
        <f>'FS -872 Bond Fees'!I10</f>
        <v>955514.5</v>
      </c>
      <c r="J9" s="24"/>
      <c r="K9" s="20">
        <f>'FS -872 Bond Fees'!K10</f>
        <v>-855464.5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456515</v>
      </c>
      <c r="F11" s="46"/>
      <c r="G11" s="45">
        <f>SUM(G7+G8+G9+G10)</f>
        <v>27370</v>
      </c>
      <c r="H11" s="46"/>
      <c r="I11" s="45">
        <f>SUM(I7+I8+I9+I10)</f>
        <v>1205845.76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x14ac:dyDescent="0.35">
      <c r="A14" s="13"/>
      <c r="C14" s="39" t="s">
        <v>91</v>
      </c>
      <c r="E14" s="20">
        <v>428514.8</v>
      </c>
      <c r="F14" s="20"/>
      <c r="G14" s="20">
        <f>SUM('FS -870 Operations'!G26)</f>
        <v>22127.57</v>
      </c>
      <c r="H14" s="20"/>
      <c r="I14" s="20">
        <f>SUM('FS -870 Operations'!I26)</f>
        <v>233626.65000000002</v>
      </c>
      <c r="J14" s="17"/>
      <c r="K14" s="20">
        <f>'FS -870 Operations'!K26</f>
        <v>194888.14999999997</v>
      </c>
    </row>
    <row r="15" spans="1:13" ht="15" x14ac:dyDescent="0.35">
      <c r="C15" s="39" t="s">
        <v>90</v>
      </c>
      <c r="E15" s="20">
        <v>28000</v>
      </c>
      <c r="F15" s="20"/>
      <c r="G15" s="20">
        <f>SUM('FS -871 Street Lights'!G13)</f>
        <v>2215.84</v>
      </c>
      <c r="H15" s="20"/>
      <c r="I15" s="20">
        <f>SUM('FS -871 Street Lights'!I13)</f>
        <v>15766.16</v>
      </c>
      <c r="J15" s="24"/>
      <c r="K15" s="20">
        <f>'FS -871 Street Lights'!K13</f>
        <v>12233.84</v>
      </c>
    </row>
    <row r="16" spans="1:13" ht="15" x14ac:dyDescent="0.35">
      <c r="C16" s="39" t="s">
        <v>89</v>
      </c>
      <c r="E16" s="20">
        <v>0</v>
      </c>
      <c r="F16" s="20"/>
      <c r="G16" s="20">
        <f>SUM('FS -872 Bond Fees'!G17)</f>
        <v>6352.08</v>
      </c>
      <c r="H16" s="20"/>
      <c r="I16" s="20">
        <f>SUM('FS -872 Bond Fees'!I17)</f>
        <v>74975.8</v>
      </c>
      <c r="J16" s="24"/>
      <c r="K16" s="20">
        <f>'FS -872 Bond Fees'!K17</f>
        <v>-74975.8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456514.8</v>
      </c>
      <c r="F18" s="46"/>
      <c r="G18" s="45">
        <f>G14+G15+G16+G17</f>
        <v>30695.489999999998</v>
      </c>
      <c r="H18" s="46"/>
      <c r="I18" s="45">
        <f>I14+I15+I16+I17</f>
        <v>324368.61000000004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0.20000000001164153</v>
      </c>
      <c r="G21" s="20">
        <f>SUM(G11-G18)</f>
        <v>-3325.489999999998</v>
      </c>
      <c r="H21" s="41"/>
      <c r="I21" s="20">
        <f>SUM(I11-I18)</f>
        <v>881477.14999999991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33" sqref="E33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228440</v>
      </c>
      <c r="F8" s="14"/>
      <c r="G8" s="11">
        <v>19036.669999999998</v>
      </c>
      <c r="H8" s="15"/>
      <c r="I8" s="11">
        <f>G8+'[4]FS -870 Operations'!$I$8</f>
        <v>156871.84999999998</v>
      </c>
      <c r="J8" s="16"/>
      <c r="K8" s="11">
        <f>SUM(E8-I8)</f>
        <v>71568.150000000023</v>
      </c>
    </row>
    <row r="9" spans="1:13" x14ac:dyDescent="0.2">
      <c r="A9" s="13"/>
      <c r="C9" s="14" t="s">
        <v>9</v>
      </c>
      <c r="D9" s="14"/>
      <c r="E9" s="20">
        <v>25</v>
      </c>
      <c r="F9" s="14"/>
      <c r="G9" s="11">
        <v>0</v>
      </c>
      <c r="H9" s="15"/>
      <c r="I9" s="11">
        <v>5.51</v>
      </c>
      <c r="J9" s="16"/>
      <c r="K9" s="11">
        <f>SUM(E9-I9)</f>
        <v>19.490000000000002</v>
      </c>
    </row>
    <row r="10" spans="1:13" x14ac:dyDescent="0.2">
      <c r="A10" s="13"/>
      <c r="C10" s="14" t="s">
        <v>111</v>
      </c>
      <c r="D10" s="14"/>
      <c r="E10" s="20"/>
      <c r="F10" s="14"/>
      <c r="G10" s="11">
        <v>0</v>
      </c>
      <c r="H10" s="15"/>
      <c r="I10" s="11">
        <f>G10+'[2]FS -870 Operations'!$I$10</f>
        <v>20000</v>
      </c>
      <c r="J10" s="16"/>
      <c r="K10" s="11">
        <f>SUM(E10-I10)</f>
        <v>-20000</v>
      </c>
    </row>
    <row r="11" spans="1:13" x14ac:dyDescent="0.2">
      <c r="A11" s="13"/>
      <c r="C11" s="14" t="s">
        <v>110</v>
      </c>
      <c r="D11" s="14"/>
      <c r="E11" s="52">
        <v>100000</v>
      </c>
      <c r="F11" s="14"/>
      <c r="G11" s="11">
        <v>8333.33</v>
      </c>
      <c r="H11" s="15"/>
      <c r="I11" s="11">
        <f>G11+'[4]FS -870 Operations'!$I$11</f>
        <v>58333.310000000005</v>
      </c>
      <c r="J11" s="16"/>
      <c r="K11" s="11">
        <f>SUM(E11-I11)</f>
        <v>41666.689999999995</v>
      </c>
    </row>
    <row r="12" spans="1:13" ht="15" x14ac:dyDescent="0.35">
      <c r="A12" s="18"/>
      <c r="C12" s="2" t="s">
        <v>10</v>
      </c>
      <c r="E12" s="19">
        <f>E8+E9+E11</f>
        <v>328465</v>
      </c>
      <c r="F12" s="20"/>
      <c r="G12" s="19">
        <f>SUM(G8:G11)</f>
        <v>27370</v>
      </c>
      <c r="H12" s="20"/>
      <c r="I12" s="19">
        <f>SUM(I8:I11)</f>
        <v>235210.66999999998</v>
      </c>
      <c r="J12" s="17"/>
      <c r="K12" s="19">
        <f>SUM(K8:K9)</f>
        <v>71587.640000000029</v>
      </c>
    </row>
    <row r="13" spans="1:13" x14ac:dyDescent="0.2">
      <c r="A13" s="13"/>
      <c r="H13" s="15"/>
      <c r="J13" s="16"/>
    </row>
    <row r="14" spans="1:13" x14ac:dyDescent="0.2">
      <c r="A14" s="13"/>
      <c r="B14" s="10" t="s">
        <v>11</v>
      </c>
      <c r="H14" s="15"/>
      <c r="J14" s="16"/>
    </row>
    <row r="15" spans="1:13" x14ac:dyDescent="0.2">
      <c r="A15" s="13"/>
      <c r="C15" s="2" t="s">
        <v>12</v>
      </c>
      <c r="E15" s="11">
        <v>223823.62</v>
      </c>
      <c r="G15" s="11">
        <v>11544.64</v>
      </c>
      <c r="H15" s="15"/>
      <c r="I15" s="11">
        <f>G15+'[4]FS -870 Operations'!$I$15</f>
        <v>128336.46</v>
      </c>
      <c r="J15" s="16"/>
      <c r="K15" s="11">
        <f>E15-I15</f>
        <v>95487.159999999989</v>
      </c>
    </row>
    <row r="16" spans="1:13" x14ac:dyDescent="0.2">
      <c r="A16" s="13"/>
      <c r="C16" s="59" t="s">
        <v>13</v>
      </c>
      <c r="D16" s="59"/>
      <c r="E16" s="11">
        <f>13877.06+3245.44+51000+52.8+623.44+48.24+1135.2+10159+1980</f>
        <v>82121.180000000008</v>
      </c>
      <c r="F16" s="14"/>
      <c r="G16" s="11">
        <f>677.59+158.47+1900.26+43.8+3.5+140.36+650.11</f>
        <v>3574.0900000000006</v>
      </c>
      <c r="H16" s="15"/>
      <c r="I16" s="11">
        <f>G16+'[4]FS -870 Operations'!$I$16</f>
        <v>45907.479999999996</v>
      </c>
      <c r="J16" s="16"/>
      <c r="K16" s="11">
        <f t="shared" ref="K16:K25" si="0">SUM(E16-I16)</f>
        <v>36213.700000000012</v>
      </c>
    </row>
    <row r="17" spans="1:12" x14ac:dyDescent="0.2">
      <c r="A17" s="13"/>
      <c r="C17" s="14" t="s">
        <v>14</v>
      </c>
      <c r="D17" s="14"/>
      <c r="E17" s="11">
        <f>200+4800+5400+300</f>
        <v>10700</v>
      </c>
      <c r="F17" s="14"/>
      <c r="G17" s="11">
        <f>400+600</f>
        <v>1000</v>
      </c>
      <c r="H17" s="15"/>
      <c r="I17" s="11">
        <f>G17+'[4]FS -870 Operations'!$I$17</f>
        <v>3333.49</v>
      </c>
      <c r="J17" s="16"/>
      <c r="K17" s="11">
        <f t="shared" si="0"/>
        <v>7366.51</v>
      </c>
      <c r="L17" s="54"/>
    </row>
    <row r="18" spans="1:12" x14ac:dyDescent="0.2">
      <c r="A18" s="13"/>
      <c r="C18" s="2" t="s">
        <v>18</v>
      </c>
      <c r="E18" s="11">
        <f>3355+200</f>
        <v>3555</v>
      </c>
      <c r="G18" s="11">
        <f>76.02+3.99</f>
        <v>80.009999999999991</v>
      </c>
      <c r="H18" s="15"/>
      <c r="I18" s="11">
        <f>G18+'[4]FS -870 Operations'!$I$18</f>
        <v>920.62999999999988</v>
      </c>
      <c r="J18" s="16"/>
      <c r="K18" s="11">
        <f>SUM(E18-I18)</f>
        <v>2634.37</v>
      </c>
    </row>
    <row r="19" spans="1:12" x14ac:dyDescent="0.2">
      <c r="A19" s="13"/>
      <c r="C19" s="2" t="s">
        <v>15</v>
      </c>
      <c r="E19" s="11">
        <v>31760</v>
      </c>
      <c r="G19" s="11">
        <v>2287.6799999999998</v>
      </c>
      <c r="H19" s="15"/>
      <c r="I19" s="11">
        <f>G19+'[4]FS -870 Operations'!$I$19</f>
        <v>26624.320000000003</v>
      </c>
      <c r="J19" s="16"/>
      <c r="K19" s="11">
        <f t="shared" si="0"/>
        <v>5135.6799999999967</v>
      </c>
    </row>
    <row r="20" spans="1:12" x14ac:dyDescent="0.2">
      <c r="A20" s="13"/>
      <c r="C20" s="59" t="s">
        <v>100</v>
      </c>
      <c r="D20" s="59"/>
      <c r="E20" s="11">
        <v>10515</v>
      </c>
      <c r="F20" s="14"/>
      <c r="G20" s="11">
        <v>320</v>
      </c>
      <c r="H20" s="15"/>
      <c r="I20" s="11">
        <f>G20+'[4]FS -870 Operations'!$I$20</f>
        <v>800</v>
      </c>
      <c r="J20" s="16"/>
      <c r="K20" s="11">
        <f t="shared" si="0"/>
        <v>9715</v>
      </c>
    </row>
    <row r="21" spans="1:12" x14ac:dyDescent="0.2">
      <c r="A21" s="13"/>
      <c r="C21" s="59" t="s">
        <v>101</v>
      </c>
      <c r="D21" s="59"/>
      <c r="E21" s="11">
        <v>1500</v>
      </c>
      <c r="F21" s="14"/>
      <c r="G21" s="11">
        <v>106.86</v>
      </c>
      <c r="H21" s="15"/>
      <c r="I21" s="11">
        <f>G21+'[4]FS -870 Operations'!$I$21</f>
        <v>1025.4499999999998</v>
      </c>
      <c r="J21" s="16"/>
      <c r="K21" s="11">
        <f>SUM(E21-I21)</f>
        <v>474.55000000000018</v>
      </c>
    </row>
    <row r="22" spans="1:12" x14ac:dyDescent="0.2">
      <c r="A22" s="13"/>
      <c r="C22" s="14" t="s">
        <v>108</v>
      </c>
      <c r="D22" s="14"/>
      <c r="E22" s="11">
        <v>36540</v>
      </c>
      <c r="F22" s="14"/>
      <c r="G22" s="11">
        <v>3045</v>
      </c>
      <c r="H22" s="15"/>
      <c r="I22" s="11">
        <f>G22+'[4]FS -870 Operations'!$I$22</f>
        <v>18270</v>
      </c>
      <c r="J22" s="16"/>
      <c r="K22" s="11">
        <f>SUM(E22-I22)</f>
        <v>18270</v>
      </c>
    </row>
    <row r="23" spans="1:12" x14ac:dyDescent="0.2">
      <c r="A23" s="13"/>
      <c r="C23" s="14" t="s">
        <v>17</v>
      </c>
      <c r="D23" s="14"/>
      <c r="E23" s="11">
        <v>8000</v>
      </c>
      <c r="F23" s="14"/>
      <c r="G23" s="11">
        <v>0</v>
      </c>
      <c r="H23" s="15"/>
      <c r="I23" s="11">
        <f>'[1]FS -870 Operations'!$I$23</f>
        <v>8345</v>
      </c>
      <c r="J23" s="16"/>
      <c r="K23" s="11">
        <f t="shared" si="0"/>
        <v>-345</v>
      </c>
    </row>
    <row r="24" spans="1:12" x14ac:dyDescent="0.2">
      <c r="C24" s="2" t="s">
        <v>109</v>
      </c>
      <c r="E24" s="11">
        <v>0</v>
      </c>
      <c r="G24" s="11">
        <v>0</v>
      </c>
      <c r="I24" s="11">
        <f>'[2]FS -870 Operations'!$I$24</f>
        <v>-1468.49</v>
      </c>
      <c r="K24" s="11">
        <f>E24-I24</f>
        <v>1468.49</v>
      </c>
    </row>
    <row r="25" spans="1:12" ht="15" x14ac:dyDescent="0.35">
      <c r="A25" s="13"/>
      <c r="C25" s="59" t="s">
        <v>19</v>
      </c>
      <c r="D25" s="59"/>
      <c r="E25" s="11">
        <v>20000</v>
      </c>
      <c r="F25" s="14"/>
      <c r="G25" s="11">
        <v>169.29</v>
      </c>
      <c r="H25" s="21"/>
      <c r="I25" s="52">
        <f>G25+'[4]FS -870 Operations'!$I$25</f>
        <v>1532.31</v>
      </c>
      <c r="J25" s="17"/>
      <c r="K25" s="11">
        <f t="shared" si="0"/>
        <v>18467.689999999999</v>
      </c>
    </row>
    <row r="26" spans="1:12" ht="15" x14ac:dyDescent="0.35">
      <c r="A26" s="13"/>
      <c r="C26" s="2" t="s">
        <v>20</v>
      </c>
      <c r="E26" s="19">
        <f>SUM(E15:E25)</f>
        <v>428514.8</v>
      </c>
      <c r="F26" s="20"/>
      <c r="G26" s="19">
        <f>SUM(G15:G25)</f>
        <v>22127.57</v>
      </c>
      <c r="H26" s="20"/>
      <c r="I26" s="19">
        <f>SUM(I15:I25)</f>
        <v>233626.65000000002</v>
      </c>
      <c r="J26" s="17"/>
      <c r="K26" s="19">
        <f>SUM(K15:K25)</f>
        <v>194888.14999999997</v>
      </c>
    </row>
    <row r="27" spans="1:12" x14ac:dyDescent="0.2">
      <c r="A27" s="4"/>
      <c r="H27" s="15"/>
      <c r="J27" s="16"/>
    </row>
    <row r="28" spans="1:12" x14ac:dyDescent="0.2">
      <c r="A28" s="22"/>
      <c r="H28" s="15"/>
      <c r="J28" s="16"/>
    </row>
    <row r="29" spans="1:12" x14ac:dyDescent="0.2">
      <c r="A29" s="4"/>
      <c r="B29" s="10" t="s">
        <v>21</v>
      </c>
      <c r="E29" s="20">
        <f>SUM(E12-E26)</f>
        <v>-100049.79999999999</v>
      </c>
      <c r="G29" s="20">
        <f>SUM(G12-G26)</f>
        <v>5242.43</v>
      </c>
      <c r="H29" s="15"/>
      <c r="I29" s="20">
        <f>SUM(I12-I26)</f>
        <v>1584.0199999999604</v>
      </c>
      <c r="J29" s="16"/>
      <c r="K29" s="20"/>
    </row>
    <row r="30" spans="1:12" x14ac:dyDescent="0.2">
      <c r="A30" s="4"/>
      <c r="H30" s="15"/>
      <c r="J30" s="16"/>
    </row>
    <row r="31" spans="1:12" x14ac:dyDescent="0.2">
      <c r="H31" s="15"/>
      <c r="J31" s="15"/>
    </row>
    <row r="32" spans="1:12" x14ac:dyDescent="0.2">
      <c r="B32" s="10" t="s">
        <v>22</v>
      </c>
      <c r="E32" s="23">
        <f>75905.76-6049.81</f>
        <v>69855.95</v>
      </c>
      <c r="H32" s="15"/>
      <c r="J32" s="15"/>
    </row>
    <row r="33" spans="1:13" x14ac:dyDescent="0.2">
      <c r="H33" s="15"/>
      <c r="J33" s="15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  <row r="36" spans="1:13" s="11" customFormat="1" x14ac:dyDescent="0.2">
      <c r="A36" s="2"/>
      <c r="B36" s="2"/>
      <c r="C36" s="2"/>
      <c r="D36" s="2"/>
      <c r="F36" s="2"/>
      <c r="H36" s="15"/>
      <c r="J36" s="15"/>
      <c r="L36" s="6"/>
      <c r="M36" s="2"/>
    </row>
  </sheetData>
  <mergeCells count="8">
    <mergeCell ref="C21:D21"/>
    <mergeCell ref="C25:D25"/>
    <mergeCell ref="A1:L1"/>
    <mergeCell ref="A3:L3"/>
    <mergeCell ref="C8:D8"/>
    <mergeCell ref="C16:D16"/>
    <mergeCell ref="C20:D20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activeCell="I13" sqref="I13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G8" s="11">
        <v>0</v>
      </c>
      <c r="H8" s="15"/>
      <c r="I8" s="11">
        <f>'[1]FS -871 Street Lights'!$I$8</f>
        <v>15120.59</v>
      </c>
      <c r="J8" s="16"/>
      <c r="K8" s="11">
        <f>E8-I8</f>
        <v>12879.41</v>
      </c>
      <c r="L8" s="6"/>
    </row>
    <row r="9" spans="1:13" ht="15" x14ac:dyDescent="0.35">
      <c r="A9" s="18"/>
      <c r="C9" s="2" t="s">
        <v>26</v>
      </c>
      <c r="E9" s="19">
        <f>E8</f>
        <v>28000</v>
      </c>
      <c r="F9" s="20"/>
      <c r="G9" s="19">
        <f>G8</f>
        <v>0</v>
      </c>
      <c r="H9" s="20"/>
      <c r="I9" s="19">
        <f>I8</f>
        <v>15120.59</v>
      </c>
      <c r="J9" s="17"/>
      <c r="K9" s="19">
        <f>SUM(K8)</f>
        <v>12879.41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28000</v>
      </c>
      <c r="G12" s="20">
        <v>2215.84</v>
      </c>
      <c r="H12" s="24"/>
      <c r="I12" s="11">
        <f>G12+'[4]FS -871 Street Lights'!$I$12</f>
        <v>15766.16</v>
      </c>
      <c r="J12" s="17"/>
      <c r="K12" s="11">
        <f>SUM(E12-I12)</f>
        <v>12233.84</v>
      </c>
    </row>
    <row r="13" spans="1:13" ht="15" x14ac:dyDescent="0.35">
      <c r="A13" s="13"/>
      <c r="C13" s="2" t="s">
        <v>28</v>
      </c>
      <c r="E13" s="19">
        <v>28000</v>
      </c>
      <c r="F13" s="20"/>
      <c r="G13" s="19">
        <f>SUM(G12)</f>
        <v>2215.84</v>
      </c>
      <c r="H13" s="20"/>
      <c r="I13" s="19">
        <f>SUM(I12)</f>
        <v>15766.16</v>
      </c>
      <c r="J13" s="17"/>
      <c r="K13" s="19">
        <f>SUM(K12)</f>
        <v>12233.84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-2215.84</v>
      </c>
      <c r="H16" s="15"/>
      <c r="I16" s="20">
        <f>SUM(I9-I13)</f>
        <v>-645.56999999999971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E24" sqref="E24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100000</v>
      </c>
      <c r="F8" s="14"/>
      <c r="G8" s="11">
        <v>0</v>
      </c>
      <c r="H8" s="15"/>
      <c r="I8" s="11">
        <v>950000</v>
      </c>
      <c r="J8" s="17"/>
      <c r="K8" s="11">
        <f>SUM(E8-I8)</f>
        <v>-850000</v>
      </c>
    </row>
    <row r="9" spans="1:13" ht="15" x14ac:dyDescent="0.35">
      <c r="A9" s="13"/>
      <c r="C9" s="59" t="s">
        <v>9</v>
      </c>
      <c r="D9" s="59"/>
      <c r="E9" s="11">
        <v>50</v>
      </c>
      <c r="F9" s="14"/>
      <c r="G9" s="11">
        <v>0</v>
      </c>
      <c r="H9" s="15"/>
      <c r="I9" s="52">
        <v>5514.5</v>
      </c>
      <c r="J9" s="17"/>
      <c r="K9" s="11">
        <f>SUM(E9-I9)</f>
        <v>-5464.5</v>
      </c>
      <c r="L9" s="6"/>
    </row>
    <row r="10" spans="1:13" ht="15" x14ac:dyDescent="0.35">
      <c r="A10" s="18"/>
      <c r="C10" s="2" t="s">
        <v>35</v>
      </c>
      <c r="E10" s="19">
        <f>E8+E9</f>
        <v>100050</v>
      </c>
      <c r="F10" s="20"/>
      <c r="G10" s="19">
        <f>SUM(G8:G9)</f>
        <v>0</v>
      </c>
      <c r="H10" s="20"/>
      <c r="I10" s="19">
        <f>SUM(I8:I9)</f>
        <v>955514.5</v>
      </c>
      <c r="J10" s="17"/>
      <c r="K10" s="19">
        <f>SUM(K8:K9)</f>
        <v>-855464.5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0</v>
      </c>
      <c r="G13" s="11">
        <v>3276.46</v>
      </c>
      <c r="H13" s="15"/>
      <c r="I13" s="11">
        <f>G13+'[4]FS -872 Bond Fees'!$I$13</f>
        <v>24573.449999999997</v>
      </c>
      <c r="J13" s="16"/>
      <c r="K13" s="11">
        <f>SUM(E13-I13)</f>
        <v>-24573.449999999997</v>
      </c>
    </row>
    <row r="14" spans="1:13" x14ac:dyDescent="0.2">
      <c r="A14" s="13"/>
      <c r="B14" s="10"/>
      <c r="C14" s="59" t="s">
        <v>13</v>
      </c>
      <c r="D14" s="59"/>
      <c r="E14" s="11">
        <v>0</v>
      </c>
      <c r="G14" s="11">
        <f>203.14+47.5+196.58</f>
        <v>447.22</v>
      </c>
      <c r="H14" s="15"/>
      <c r="I14" s="11">
        <f>G14+'[4]FS -872 Bond Fees'!$I$14</f>
        <v>3354.1500000000005</v>
      </c>
      <c r="J14" s="16"/>
      <c r="K14" s="11">
        <f t="shared" ref="K14:K16" si="0">SUM(E14-I14)</f>
        <v>-3354.1500000000005</v>
      </c>
    </row>
    <row r="15" spans="1:13" x14ac:dyDescent="0.2">
      <c r="A15" s="13"/>
      <c r="B15" s="10"/>
      <c r="C15" s="2" t="s">
        <v>16</v>
      </c>
      <c r="E15" s="11">
        <v>0</v>
      </c>
      <c r="G15" s="11">
        <v>2628.4</v>
      </c>
      <c r="H15" s="15"/>
      <c r="I15" s="11">
        <f>G15+'[4]FS -872 Bond Fees'!$I$15</f>
        <v>47048.200000000004</v>
      </c>
      <c r="J15" s="16"/>
      <c r="K15" s="11">
        <f t="shared" si="0"/>
        <v>-47048.200000000004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ref="I16" si="1">G16</f>
        <v>0</v>
      </c>
      <c r="J16" s="16"/>
      <c r="K16" s="52">
        <f t="shared" si="0"/>
        <v>0</v>
      </c>
    </row>
    <row r="17" spans="1:13" ht="15" x14ac:dyDescent="0.35">
      <c r="A17" s="13"/>
      <c r="C17" s="2" t="s">
        <v>38</v>
      </c>
      <c r="E17" s="19">
        <f>SUM(E13:E16)</f>
        <v>0</v>
      </c>
      <c r="F17" s="20"/>
      <c r="G17" s="19">
        <f>SUM(G13:G16)</f>
        <v>6352.08</v>
      </c>
      <c r="H17" s="20"/>
      <c r="I17" s="19">
        <f>SUM(I13:I16)</f>
        <v>74975.8</v>
      </c>
      <c r="J17" s="17"/>
      <c r="K17" s="19">
        <f>SUM(K13:K16)</f>
        <v>-74975.8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100050</v>
      </c>
      <c r="G20" s="20">
        <f>SUM(G10-G17)</f>
        <v>-6352.08</v>
      </c>
      <c r="H20" s="15"/>
      <c r="I20" s="20">
        <f>SUM(I10-I17)</f>
        <v>880538.7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1322415.29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6"/>
  <sheetViews>
    <sheetView tabSelected="1" topLeftCell="A19" workbookViewId="0">
      <selection activeCell="E46" sqref="E46"/>
    </sheetView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112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75905.759999999995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1322415.29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-6049.81</v>
      </c>
    </row>
    <row r="11" spans="1:12" x14ac:dyDescent="0.2">
      <c r="B11" s="35" t="s">
        <v>55</v>
      </c>
      <c r="C11" s="10" t="s">
        <v>49</v>
      </c>
      <c r="D11" s="36">
        <f>SUM(D5:D10)</f>
        <v>1392271.24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-146666.67000000001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-31182.89</v>
      </c>
    </row>
    <row r="26" spans="1:5" x14ac:dyDescent="0.2">
      <c r="B26" s="35" t="s">
        <v>55</v>
      </c>
      <c r="C26" s="10" t="s">
        <v>64</v>
      </c>
      <c r="D26" s="36">
        <f>SUM(D20:D25)</f>
        <v>43638.41</v>
      </c>
    </row>
    <row r="28" spans="1:5" x14ac:dyDescent="0.2">
      <c r="B28" s="35" t="s">
        <v>55</v>
      </c>
      <c r="C28" s="10" t="s">
        <v>65</v>
      </c>
      <c r="D28" s="36">
        <f>SUM(D11+D18+D26)</f>
        <v>1436911.63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0</v>
      </c>
    </row>
    <row r="33" spans="2:5" x14ac:dyDescent="0.2">
      <c r="B33" s="35" t="s">
        <v>55</v>
      </c>
      <c r="C33" s="10" t="s">
        <v>66</v>
      </c>
      <c r="D33" s="36"/>
      <c r="E33" s="36">
        <f>+E32</f>
        <v>0</v>
      </c>
    </row>
    <row r="35" spans="2:5" x14ac:dyDescent="0.2">
      <c r="B35" s="4">
        <v>2115</v>
      </c>
      <c r="C35" s="2" t="s">
        <v>67</v>
      </c>
      <c r="E35" s="33">
        <v>614.27</v>
      </c>
    </row>
    <row r="36" spans="2:5" x14ac:dyDescent="0.2">
      <c r="B36" s="4">
        <v>2116</v>
      </c>
      <c r="C36" s="2" t="s">
        <v>68</v>
      </c>
      <c r="E36" s="33">
        <v>149.71</v>
      </c>
    </row>
    <row r="37" spans="2:5" x14ac:dyDescent="0.2">
      <c r="B37" s="35" t="s">
        <v>55</v>
      </c>
      <c r="C37" s="10" t="s">
        <v>69</v>
      </c>
      <c r="D37" s="36"/>
      <c r="E37" s="36">
        <f>SUM(E35:E36)</f>
        <v>763.98</v>
      </c>
    </row>
    <row r="39" spans="2:5" x14ac:dyDescent="0.2">
      <c r="B39" s="4">
        <v>2212</v>
      </c>
      <c r="C39" s="2" t="s">
        <v>70</v>
      </c>
      <c r="E39" s="33">
        <v>617.74</v>
      </c>
    </row>
    <row r="40" spans="2:5" x14ac:dyDescent="0.2">
      <c r="B40" s="35" t="s">
        <v>55</v>
      </c>
      <c r="C40" s="10" t="s">
        <v>71</v>
      </c>
      <c r="D40" s="36"/>
      <c r="E40" s="36">
        <f>SUM(E39:E39)</f>
        <v>617.74</v>
      </c>
    </row>
    <row r="42" spans="2:5" x14ac:dyDescent="0.2">
      <c r="B42" s="4">
        <v>2901</v>
      </c>
      <c r="C42" s="2" t="s">
        <v>72</v>
      </c>
      <c r="E42" s="33">
        <v>0</v>
      </c>
    </row>
    <row r="43" spans="2:5" x14ac:dyDescent="0.2">
      <c r="B43" s="4">
        <v>2951</v>
      </c>
      <c r="C43" s="2" t="s">
        <v>73</v>
      </c>
      <c r="E43" s="33">
        <v>10295.299999999999</v>
      </c>
    </row>
    <row r="44" spans="2:5" x14ac:dyDescent="0.2">
      <c r="B44" s="4">
        <v>2952</v>
      </c>
      <c r="C44" s="2" t="s">
        <v>103</v>
      </c>
      <c r="E44" s="33">
        <v>0</v>
      </c>
    </row>
    <row r="45" spans="2:5" x14ac:dyDescent="0.2">
      <c r="B45" s="4">
        <v>2955</v>
      </c>
      <c r="C45" s="2" t="s">
        <v>74</v>
      </c>
      <c r="E45" s="33">
        <v>0.09</v>
      </c>
    </row>
    <row r="46" spans="2:5" x14ac:dyDescent="0.2">
      <c r="B46" s="4">
        <v>2956</v>
      </c>
      <c r="C46" s="2" t="s">
        <v>75</v>
      </c>
      <c r="E46" s="33">
        <v>0</v>
      </c>
    </row>
    <row r="47" spans="2:5" x14ac:dyDescent="0.2">
      <c r="B47" s="4">
        <v>5063</v>
      </c>
      <c r="C47" s="2" t="s">
        <v>70</v>
      </c>
      <c r="E47" s="33">
        <v>0</v>
      </c>
    </row>
    <row r="48" spans="2:5" x14ac:dyDescent="0.2">
      <c r="B48" s="35" t="s">
        <v>55</v>
      </c>
      <c r="C48" s="10" t="s">
        <v>76</v>
      </c>
      <c r="D48" s="36"/>
      <c r="E48" s="36">
        <f>SUM(E42:E47)</f>
        <v>10295.39</v>
      </c>
    </row>
    <row r="50" spans="2:5" x14ac:dyDescent="0.2">
      <c r="B50" s="35" t="s">
        <v>55</v>
      </c>
      <c r="C50" s="10" t="s">
        <v>77</v>
      </c>
      <c r="D50" s="36"/>
      <c r="E50" s="36">
        <f>SUM(E33+E37+E40+E48)</f>
        <v>11677.109999999999</v>
      </c>
    </row>
    <row r="51" spans="2:5" x14ac:dyDescent="0.2">
      <c r="B51" s="35"/>
      <c r="C51" s="10"/>
      <c r="D51" s="36"/>
      <c r="E51" s="36"/>
    </row>
    <row r="52" spans="2:5" x14ac:dyDescent="0.2">
      <c r="B52" s="35"/>
      <c r="C52" s="37" t="s">
        <v>81</v>
      </c>
      <c r="D52" s="38"/>
      <c r="E52" s="38">
        <v>0</v>
      </c>
    </row>
    <row r="54" spans="2:5" x14ac:dyDescent="0.2">
      <c r="B54" s="35" t="s">
        <v>55</v>
      </c>
      <c r="C54" s="10" t="s">
        <v>78</v>
      </c>
      <c r="D54" s="36"/>
      <c r="E54" s="36">
        <f>D28+D30-E50-E52</f>
        <v>1425234.5199999998</v>
      </c>
    </row>
    <row r="56" spans="2:5" x14ac:dyDescent="0.2">
      <c r="B56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G13+'[3]FS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2023-04-26T17:31:21Z</cp:lastPrinted>
  <dcterms:created xsi:type="dcterms:W3CDTF">2019-05-01T17:02:22Z</dcterms:created>
  <dcterms:modified xsi:type="dcterms:W3CDTF">2023-04-26T17:31:55Z</dcterms:modified>
</cp:coreProperties>
</file>